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tabRatio="911" activeTab="3"/>
  </bookViews>
  <sheets>
    <sheet name="List" sheetId="1" r:id="rId1"/>
    <sheet name="Table 1" sheetId="2" r:id="rId2"/>
    <sheet name="Table 2" sheetId="3" r:id="rId3"/>
    <sheet name="Table 3A" sheetId="4" r:id="rId4"/>
    <sheet name="Table 3B" sheetId="5" r:id="rId5"/>
    <sheet name="Table 3C" sheetId="6" r:id="rId6"/>
    <sheet name="Table 4A" sheetId="7" r:id="rId7"/>
    <sheet name="Table 4B" sheetId="8" r:id="rId8"/>
    <sheet name="Table 4C" sheetId="9" r:id="rId9"/>
    <sheet name="Table 5A" sheetId="10" r:id="rId10"/>
    <sheet name="Table 5B" sheetId="11" r:id="rId11"/>
    <sheet name="Table 5C" sheetId="12" r:id="rId12"/>
    <sheet name="Sheet1" sheetId="13" r:id="rId13"/>
  </sheets>
  <definedNames>
    <definedName name="_Order1" hidden="1">0</definedName>
    <definedName name="_Order2" hidden="1">0</definedName>
    <definedName name="_xlfn.SINGLE" hidden="1">#NAME?</definedName>
    <definedName name="PAYER">#REF!</definedName>
    <definedName name="PL">#REF!</definedName>
    <definedName name="_xlnm.Print_Area" localSheetId="1">'Table 1'!$A$1:$F$51</definedName>
    <definedName name="_xlnm.Print_Area" localSheetId="2">'Table 2'!$A$1:$G$46</definedName>
    <definedName name="_xlnm.Print_Area" localSheetId="3">'Table 3A'!$A$1:$K$47</definedName>
    <definedName name="_xlnm.Print_Area" localSheetId="4">'Table 3B'!$A$1:$K$47</definedName>
    <definedName name="_xlnm.Print_Area" localSheetId="5">'Table 3C'!$A$1:$K$47</definedName>
    <definedName name="_xlnm.Print_Area" localSheetId="6">'Table 4A'!$A$1:$K$71</definedName>
    <definedName name="_xlnm.Print_Area" localSheetId="7">'Table 4B'!$A$1:$K$71</definedName>
    <definedName name="_xlnm.Print_Area" localSheetId="8">'Table 4C'!$A$1:$K$71</definedName>
    <definedName name="_xlnm.Print_Area" localSheetId="9">'Table 5A'!$A$1:$K$50</definedName>
    <definedName name="_xlnm.Print_Area" localSheetId="10">'Table 5B'!$A$1:$K$50</definedName>
    <definedName name="_xlnm.Print_Area" localSheetId="11">'Table 5C'!$A$1:$K$50</definedName>
  </definedNames>
  <calcPr fullCalcOnLoad="1"/>
</workbook>
</file>

<file path=xl/sharedStrings.xml><?xml version="1.0" encoding="utf-8"?>
<sst xmlns="http://schemas.openxmlformats.org/spreadsheetml/2006/main" count="568" uniqueCount="223">
  <si>
    <t>Proposed</t>
  </si>
  <si>
    <t>Year 1</t>
  </si>
  <si>
    <t>Year 2</t>
  </si>
  <si>
    <t>Year 3</t>
  </si>
  <si>
    <t>TABLE 1</t>
  </si>
  <si>
    <t>Construction Costs</t>
  </si>
  <si>
    <t>New Construction</t>
  </si>
  <si>
    <t>Renovation</t>
  </si>
  <si>
    <t>Design/Bidding Contingency</t>
  </si>
  <si>
    <t>Construction Contingency</t>
  </si>
  <si>
    <t>Site Work</t>
  </si>
  <si>
    <t>Fixed Equipment</t>
  </si>
  <si>
    <t>Construction Manager Fee</t>
  </si>
  <si>
    <t>Subtotal</t>
  </si>
  <si>
    <t>Related Project Costs</t>
  </si>
  <si>
    <t>Major Moveable Equipment</t>
  </si>
  <si>
    <t>Architectural/Engineering Fees</t>
  </si>
  <si>
    <t>Land Acquisition</t>
  </si>
  <si>
    <t>Purchase of Buildings</t>
  </si>
  <si>
    <t>Administrative Expenses &amp; Permits</t>
  </si>
  <si>
    <t>Debt Financing Expenses</t>
  </si>
  <si>
    <t>Other</t>
  </si>
  <si>
    <t>Total Project Costs</t>
  </si>
  <si>
    <t>Other  (please specify)</t>
  </si>
  <si>
    <t>Capital Interest</t>
  </si>
  <si>
    <t>Bond Discount or Placement Fee</t>
  </si>
  <si>
    <t>TABLE 2</t>
  </si>
  <si>
    <t>Less Interest Earnings on Funds</t>
  </si>
  <si>
    <t>Debt Service Reserve Funds</t>
  </si>
  <si>
    <t>Capitalized Interest Account</t>
  </si>
  <si>
    <t>Construction Fund</t>
  </si>
  <si>
    <t>Total Debt Financing Expenses</t>
  </si>
  <si>
    <t>Sources of Funds</t>
  </si>
  <si>
    <t>Financing Instrument</t>
  </si>
  <si>
    <t>Interest Rate</t>
  </si>
  <si>
    <t>Amount Financed</t>
  </si>
  <si>
    <t>Loan Period</t>
  </si>
  <si>
    <t>Equity Contribution</t>
  </si>
  <si>
    <t>Working Capital</t>
  </si>
  <si>
    <t>Bond</t>
  </si>
  <si>
    <t>To:</t>
  </si>
  <si>
    <t>Funded Depreciation</t>
  </si>
  <si>
    <t>Total Required Funds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</si>
  <si>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</si>
  <si>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</si>
  <si>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</si>
  <si>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</si>
  <si>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</si>
  <si>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</si>
  <si>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</si>
  <si>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a. </t>
  </si>
  <si>
    <t xml:space="preserve">b. </t>
  </si>
  <si>
    <t xml:space="preserve">c. </t>
  </si>
  <si>
    <t xml:space="preserve">d. </t>
  </si>
  <si>
    <t>Uses of Funds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</si>
  <si>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</si>
  <si>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</si>
  <si>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</si>
  <si>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</si>
  <si>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</si>
  <si>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</si>
  <si>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</si>
  <si>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>Debt Service Reserve Fund</t>
  </si>
  <si>
    <t xml:space="preserve">15. </t>
  </si>
  <si>
    <t xml:space="preserve">16. </t>
  </si>
  <si>
    <t xml:space="preserve">17. </t>
  </si>
  <si>
    <t>Total Uses of Funds</t>
  </si>
  <si>
    <t>Project Costs  (feeds from Table 1)</t>
  </si>
  <si>
    <t>Total sources should equal total uses of funds.</t>
  </si>
  <si>
    <t>should be zero</t>
  </si>
  <si>
    <t>Latest Actual</t>
  </si>
  <si>
    <t>WITHOUT PROJECT</t>
  </si>
  <si>
    <t>Deductions from Revenue</t>
  </si>
  <si>
    <t>Latest actual numbers should tie to the hospital budget process.</t>
  </si>
  <si>
    <t>PROJECT ONLY</t>
  </si>
  <si>
    <t>WITH PROJECT</t>
  </si>
  <si>
    <t>Furnishings, Fixtures &amp; Other Equip.</t>
  </si>
  <si>
    <t>INCOME STATEMENT</t>
  </si>
  <si>
    <t>Revenues</t>
  </si>
  <si>
    <t>Gross Patient Care Revenue</t>
  </si>
  <si>
    <t>Disproportionate Share Payments</t>
  </si>
  <si>
    <t>Free Care &amp; Bad Debt</t>
  </si>
  <si>
    <t>Net Patient Care Revenue</t>
  </si>
  <si>
    <t>Total Operating Revenue</t>
  </si>
  <si>
    <t>Operating Expense</t>
  </si>
  <si>
    <t>Salaries (Non-MD)</t>
  </si>
  <si>
    <t>Frings Benefits (Non-MD)</t>
  </si>
  <si>
    <t>Physician Fees/Salaries/Contracts/Fringes</t>
  </si>
  <si>
    <t>Health Care Provider Tax</t>
  </si>
  <si>
    <t>Depreciation/Amortization</t>
  </si>
  <si>
    <t>Interest</t>
  </si>
  <si>
    <t>Other Operating Expense</t>
  </si>
  <si>
    <t>Total Operating Expense</t>
  </si>
  <si>
    <t>Net Operating Income (Loss)</t>
  </si>
  <si>
    <t>Non-Operating Revenue</t>
  </si>
  <si>
    <t>Excess (Deficit) of Rev Over Exp</t>
  </si>
  <si>
    <t>BALANCE SHEET - UNRESTRICTED FUNDS</t>
  </si>
  <si>
    <t>TOTAL ASSETS</t>
  </si>
  <si>
    <t>TOTAL LIABILITIES &amp; FUND BALANCE</t>
  </si>
  <si>
    <t>ASSETS</t>
  </si>
  <si>
    <t>Current Assets</t>
  </si>
  <si>
    <t>Cash &amp; Investments</t>
  </si>
  <si>
    <t>Patient Accounts Receivable, Gross</t>
  </si>
  <si>
    <t>Less: Allowance for Uncollectable Accts.</t>
  </si>
  <si>
    <t>Due from Third Parties</t>
  </si>
  <si>
    <t>Other Current Assets</t>
  </si>
  <si>
    <t>Total Current Assets</t>
  </si>
  <si>
    <t>Board Designated Assets</t>
  </si>
  <si>
    <t>Escrowed Bond Funds</t>
  </si>
  <si>
    <t>Total Board Designated Assets</t>
  </si>
  <si>
    <t>Property, Plant &amp; Equipment</t>
  </si>
  <si>
    <t>Land, Buildings &amp; Improvements</t>
  </si>
  <si>
    <t>Construction in Progress</t>
  </si>
  <si>
    <t>Total Property, Plant &amp; Equipment</t>
  </si>
  <si>
    <t>Less: Accumulated Depreciation</t>
  </si>
  <si>
    <t>Total Accumulated Depreciation</t>
  </si>
  <si>
    <t>Total Net Property, Plant &amp; Equipment</t>
  </si>
  <si>
    <t>Other Long-Term Assets</t>
  </si>
  <si>
    <t>LIABILITIES AND FUND BALANCE</t>
  </si>
  <si>
    <t>Current Liabilities</t>
  </si>
  <si>
    <t>Accounts Payable</t>
  </si>
  <si>
    <t>Salaries, Wages &amp; Payroll Taxes Payable</t>
  </si>
  <si>
    <t>Estimated Third-Party Settlements</t>
  </si>
  <si>
    <t>Other Current Liabilities</t>
  </si>
  <si>
    <t>Current Portion of Long-Term Debt</t>
  </si>
  <si>
    <t>Total Current Liabilities</t>
  </si>
  <si>
    <t>Long-Term Debt</t>
  </si>
  <si>
    <t>Bonds &amp; Mortgages Payable</t>
  </si>
  <si>
    <t>Capital Lease Obligations</t>
  </si>
  <si>
    <t>Other Long-Term Debt</t>
  </si>
  <si>
    <t>Total Long-Term Debt</t>
  </si>
  <si>
    <t>Total Other Non-Current Liabilities</t>
  </si>
  <si>
    <t>Total Liabilities</t>
  </si>
  <si>
    <t>Fund Balance</t>
  </si>
  <si>
    <t>Debt Financing Expenses (see below)</t>
  </si>
  <si>
    <t>Misc. Financing Fees &amp; Exp. (issuance costs)</t>
  </si>
  <si>
    <t>feeds to line 7 above</t>
  </si>
  <si>
    <t>PROJECT COSTS</t>
  </si>
  <si>
    <t>Other Sources</t>
  </si>
  <si>
    <t>Fundraising</t>
  </si>
  <si>
    <t>Grants</t>
  </si>
  <si>
    <t>STATEMENT OF CASH FLOWS</t>
  </si>
  <si>
    <t>Beginning Cash</t>
  </si>
  <si>
    <t>Operations</t>
  </si>
  <si>
    <t>Excess revenues over expenses</t>
  </si>
  <si>
    <t>Depreciation / Amortization</t>
  </si>
  <si>
    <t>(Increase)/Decrease Patient A/R</t>
  </si>
  <si>
    <t>(Increase)/Decrease Other Changes</t>
  </si>
  <si>
    <t>Subtotal Cash from Operations</t>
  </si>
  <si>
    <t>Investing Activity</t>
  </si>
  <si>
    <t>Capital Spending</t>
  </si>
  <si>
    <t xml:space="preserve">Capital </t>
  </si>
  <si>
    <t>Capitalized Interest</t>
  </si>
  <si>
    <t>Change in accum depr less depreciation</t>
  </si>
  <si>
    <t>(Increase) Decrease in capital  assets</t>
  </si>
  <si>
    <t>Subtotal Capital Spending</t>
  </si>
  <si>
    <t>(Increase) / Decrease</t>
  </si>
  <si>
    <t>Other LT assets &amp; escrowed bonds &amp; other</t>
  </si>
  <si>
    <t>Subtotal (Increase) / Decrease</t>
  </si>
  <si>
    <t>Subtotal Cash from Investing Activity</t>
  </si>
  <si>
    <t>Financing Activity</t>
  </si>
  <si>
    <t>Debt (increase) decrease</t>
  </si>
  <si>
    <t>Bonds &amp; mortgages</t>
  </si>
  <si>
    <t>Repayment</t>
  </si>
  <si>
    <t>Capital lease &amp; other long term debt</t>
  </si>
  <si>
    <t>Subtotal Cash from Financing Activity</t>
  </si>
  <si>
    <t>Other Changes (please describe)</t>
  </si>
  <si>
    <t>Manual adjustment</t>
  </si>
  <si>
    <t>Change in fund balance less net income</t>
  </si>
  <si>
    <t>Subtotal Other Changes</t>
  </si>
  <si>
    <t>Net Increase (Decrease) in Cash</t>
  </si>
  <si>
    <t>Ending Cash</t>
  </si>
  <si>
    <t>Edit</t>
  </si>
  <si>
    <t>TABLE 3A</t>
  </si>
  <si>
    <t>TABLE 3B</t>
  </si>
  <si>
    <t>TABLE 3C</t>
  </si>
  <si>
    <t>TABLE 5A</t>
  </si>
  <si>
    <t>TABLE 5B</t>
  </si>
  <si>
    <t>TABLE 5C</t>
  </si>
  <si>
    <t>Budget</t>
  </si>
  <si>
    <t>TABLE 4A</t>
  </si>
  <si>
    <t>TABLE 4B</t>
  </si>
  <si>
    <t>TABLE 4C</t>
  </si>
  <si>
    <t>Table</t>
  </si>
  <si>
    <t>3A</t>
  </si>
  <si>
    <t>3B</t>
  </si>
  <si>
    <t>3C</t>
  </si>
  <si>
    <t>4A</t>
  </si>
  <si>
    <t>4B</t>
  </si>
  <si>
    <t>4C</t>
  </si>
  <si>
    <t>5A</t>
  </si>
  <si>
    <t>5B</t>
  </si>
  <si>
    <t>5C</t>
  </si>
  <si>
    <t>6A</t>
  </si>
  <si>
    <t>6B</t>
  </si>
  <si>
    <t>6C</t>
  </si>
  <si>
    <t>Project Costs</t>
  </si>
  <si>
    <t>Debt Financing Arrangement: Sources &amp; Uses of Funds</t>
  </si>
  <si>
    <t>Income Statement: Without Project</t>
  </si>
  <si>
    <t>Income Statement: Project Only</t>
  </si>
  <si>
    <t>Balance Sheet - Unrestricted Funds: Without Project</t>
  </si>
  <si>
    <t>Balance Sheet - Unrestricted Funds: Project Only</t>
  </si>
  <si>
    <t>Statement of Cash Flows: Without Project</t>
  </si>
  <si>
    <t>Statement of Cash Flows: Project Only</t>
  </si>
  <si>
    <t>Revenue Source Projections: Without Project</t>
  </si>
  <si>
    <t>Revenue Source Projections: Project Only</t>
  </si>
  <si>
    <t>Utilization Projections: Totals</t>
  </si>
  <si>
    <t>Description</t>
  </si>
  <si>
    <t>Staffing Projections: Totals</t>
  </si>
  <si>
    <t>Utilization Projections: Project Specific</t>
  </si>
  <si>
    <t>DEBT FINANCING ARRANGEMENT, SOURCES &amp; USES OF FUNDS</t>
  </si>
  <si>
    <t>Income Statement: With Project (no 'fill-in' required)</t>
  </si>
  <si>
    <t>Balance Sheet - Unrestricted Funds: With Project (no 'fill-in' required)</t>
  </si>
  <si>
    <t>Statement of Cash Flows: With Project (no 'fill-in' required)</t>
  </si>
  <si>
    <t>Revenue Source Projections: With Project (no 'fill-in' required)</t>
  </si>
  <si>
    <r>
      <t xml:space="preserve">Applicants are encouraged to submit an electronic version of a completed application via attachment to email. Please send electronic versions as attachments to email addressed to: </t>
    </r>
    <r>
      <rPr>
        <b/>
        <sz val="11.5"/>
        <rFont val="Arial"/>
        <family val="2"/>
      </rPr>
      <t>jgarson@bishca.state.vt.us</t>
    </r>
  </si>
  <si>
    <t>Required Tables</t>
  </si>
  <si>
    <r>
      <t>When completing the tables please note that you need only fill-in the</t>
    </r>
    <r>
      <rPr>
        <b/>
        <sz val="11.5"/>
        <color indexed="63"/>
        <rFont val="Arial"/>
        <family val="2"/>
      </rPr>
      <t xml:space="preserve"> shaded fields.</t>
    </r>
    <r>
      <rPr>
        <sz val="11.5"/>
        <rFont val="Arial"/>
        <family val="2"/>
      </rPr>
      <t xml:space="preserve"> Fields with diagonal lines indicating </t>
    </r>
    <r>
      <rPr>
        <b/>
        <sz val="11.5"/>
        <color indexed="12"/>
        <rFont val="Arial"/>
        <family val="2"/>
      </rPr>
      <t>N/A</t>
    </r>
    <r>
      <rPr>
        <sz val="11.5"/>
        <rFont val="Arial"/>
        <family val="2"/>
      </rPr>
      <t xml:space="preserve"> do not requiry an entry.The CON Application Form tables, when completed electronically, are set up to calculate totals as well as pre-populate fields in other tables for you. If you have any questions please contact Division staff. Also, please contact Division staff prior to determining if a given table may not be applicable for your project.                                                                                                                                                                                                                                 </t>
    </r>
  </si>
  <si>
    <t>Patient Fees</t>
  </si>
  <si>
    <t>Grants/Contracts</t>
  </si>
  <si>
    <t>Local/Other</t>
  </si>
  <si>
    <t>WCMHS Infrastructure Improvement Project</t>
  </si>
  <si>
    <t>50 Granview Dr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</si>
</sst>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%"/>
    <numFmt numFmtId="166" formatCode="0.00_)"/>
    <numFmt numFmtId="167" formatCode="0.0_)"/>
    <numFmt numFmtId="168" formatCode="#,##0.0_);\(#,##0.0\)"/>
    <numFmt numFmtId="169" formatCode="_(&quot;$&quot;* #,##0_);_(&quot;$&quot;* \(#,##0\);_(&quot;$&quot;* &quot;-&quot;??_);_(@_)"/>
    <numFmt numFmtId="170" formatCode="&quot;$&quot;#,##0"/>
    <numFmt numFmtId="171" formatCode="General;[Red]\-General"/>
    <numFmt numFmtId="172" formatCode="&quot;$&quot;#,##0;[Red]\-&quot;$&quot;#,##0"/>
    <numFmt numFmtId="173" formatCode="0;[Red]\-0"/>
    <numFmt numFmtId="174" formatCode="0.0"/>
    <numFmt numFmtId="175" formatCode="_(&quot;$&quot;* #,##0.0_);_(&quot;$&quot;* \(#,##0.0\);_(&quot;$&quot;* &quot;-&quot;??_);_(@_)"/>
    <numFmt numFmtId="176" formatCode="0.0000000000000"/>
    <numFmt numFmtId="177" formatCode="&quot;$&quot;#,##0.0_);\(&quot;$&quot;#,##0.0\)"/>
    <numFmt numFmtId="178" formatCode="_(* #,##0_);_(* \(#,##0\);_(* &quot;-&quot;??_);_(@_)"/>
    <numFmt numFmtId="179" formatCode="0.000000"/>
    <numFmt numFmtId="180" formatCode="0.00000"/>
    <numFmt numFmtId="181" formatCode="0.0000"/>
    <numFmt numFmtId="182" formatCode="0.000"/>
    <numFmt numFmtId="183" formatCode="_(* #,##0.0_);_(* \(#,##0.0\);_(* &quot;-&quot;??_);_(@_)"/>
    <numFmt numFmtId="184" formatCode="&quot;$&quot;#,##0.000_);\(&quot;$&quot;#,##0.000\)"/>
    <numFmt numFmtId="185" formatCode="#,##0.0"/>
    <numFmt numFmtId="186" formatCode="0.000%"/>
    <numFmt numFmtId="187" formatCode="&quot;$&quot;#,##0.00"/>
    <numFmt numFmtId="188" formatCode="_(* #,##0.0_);_(* \(#,##0.0\);_(* &quot;-&quot;?_);_(@_)"/>
    <numFmt numFmtId="189" formatCode="0.0000%"/>
    <numFmt numFmtId="190" formatCode="0.00000%"/>
    <numFmt numFmtId="191" formatCode="0.000000%"/>
    <numFmt numFmtId="192" formatCode="0.0000000"/>
    <numFmt numFmtId="193" formatCode="&quot;$&quot;#,##0.0"/>
    <numFmt numFmtId="194" formatCode="&quot;$&quot;#,##0.000"/>
    <numFmt numFmtId="195" formatCode="&quot;$&quot;#,##0.0000"/>
    <numFmt numFmtId="196" formatCode="&quot;$&quot;#,##0.000000"/>
    <numFmt numFmtId="197" formatCode="0_);\(0\)"/>
    <numFmt numFmtId="198" formatCode="_(&quot;$&quot;* #,##0.000_);_(&quot;$&quot;* \(#,##0.000\);_(&quot;$&quot;* &quot;-&quot;??_);_(@_)"/>
    <numFmt numFmtId="199" formatCode="_(&quot;$&quot;* #,##0.0000_);_(&quot;$&quot;* \(#,##0.0000\);_(&quot;$&quot;* &quot;-&quot;??_);_(@_)"/>
    <numFmt numFmtId="200" formatCode="mmmm\-yy"/>
    <numFmt numFmtId="201" formatCode="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[$-409]dddd\,\ mmmm\ d\,\ yyyy"/>
    <numFmt numFmtId="207" formatCode="[$-409]h:mm:ss\ AM/PM"/>
  </numFmts>
  <fonts count="58">
    <font>
      <sz val="10"/>
      <name val="Arial"/>
      <family val="0"/>
    </font>
    <font>
      <u val="single"/>
      <sz val="12"/>
      <color indexed="3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.5"/>
      <name val="Arial"/>
      <family val="2"/>
    </font>
    <font>
      <b/>
      <sz val="11.5"/>
      <name val="Arial"/>
      <family val="2"/>
    </font>
    <font>
      <b/>
      <u val="single"/>
      <sz val="20"/>
      <name val="Arial"/>
      <family val="2"/>
    </font>
    <font>
      <b/>
      <sz val="9"/>
      <color indexed="12"/>
      <name val="Arial"/>
      <family val="2"/>
    </font>
    <font>
      <b/>
      <sz val="11.5"/>
      <color indexed="63"/>
      <name val="Arial"/>
      <family val="2"/>
    </font>
    <font>
      <b/>
      <sz val="11.5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169" fontId="0" fillId="0" borderId="0" xfId="44" applyNumberFormat="1" applyAlignment="1">
      <alignment/>
    </xf>
    <xf numFmtId="0" fontId="0" fillId="0" borderId="0" xfId="0" applyBorder="1" applyAlignment="1">
      <alignment/>
    </xf>
    <xf numFmtId="0" fontId="8" fillId="0" borderId="11" xfId="0" applyFont="1" applyBorder="1" applyAlignment="1">
      <alignment horizontal="center"/>
    </xf>
    <xf numFmtId="5" fontId="0" fillId="0" borderId="12" xfId="0" applyNumberFormat="1" applyBorder="1" applyAlignment="1">
      <alignment horizontal="center"/>
    </xf>
    <xf numFmtId="0" fontId="0" fillId="0" borderId="12" xfId="0" applyBorder="1" applyAlignment="1">
      <alignment/>
    </xf>
    <xf numFmtId="5" fontId="0" fillId="0" borderId="13" xfId="0" applyNumberFormat="1" applyBorder="1" applyAlignment="1">
      <alignment horizontal="center"/>
    </xf>
    <xf numFmtId="41" fontId="9" fillId="0" borderId="0" xfId="0" applyNumberFormat="1" applyFont="1" applyAlignment="1">
      <alignment/>
    </xf>
    <xf numFmtId="169" fontId="0" fillId="0" borderId="0" xfId="44" applyNumberFormat="1" applyFont="1" applyAlignment="1">
      <alignment/>
    </xf>
    <xf numFmtId="41" fontId="0" fillId="0" borderId="0" xfId="0" applyNumberFormat="1" applyFont="1" applyAlignment="1">
      <alignment/>
    </xf>
    <xf numFmtId="41" fontId="0" fillId="0" borderId="1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165" fontId="11" fillId="0" borderId="0" xfId="60" applyNumberFormat="1" applyFont="1" applyAlignment="1">
      <alignment horizontal="center"/>
    </xf>
    <xf numFmtId="165" fontId="11" fillId="0" borderId="10" xfId="6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1" fontId="9" fillId="0" borderId="0" xfId="0" applyNumberFormat="1" applyFont="1" applyBorder="1" applyAlignment="1">
      <alignment/>
    </xf>
    <xf numFmtId="165" fontId="11" fillId="0" borderId="0" xfId="6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1" fontId="0" fillId="0" borderId="0" xfId="0" applyNumberFormat="1" applyFont="1" applyBorder="1" applyAlignment="1">
      <alignment/>
    </xf>
    <xf numFmtId="169" fontId="0" fillId="0" borderId="10" xfId="44" applyNumberFormat="1" applyFont="1" applyBorder="1" applyAlignment="1">
      <alignment/>
    </xf>
    <xf numFmtId="169" fontId="0" fillId="0" borderId="17" xfId="44" applyNumberFormat="1" applyBorder="1" applyAlignment="1">
      <alignment/>
    </xf>
    <xf numFmtId="165" fontId="11" fillId="0" borderId="17" xfId="60" applyNumberFormat="1" applyFont="1" applyBorder="1" applyAlignment="1">
      <alignment horizontal="center"/>
    </xf>
    <xf numFmtId="169" fontId="0" fillId="0" borderId="17" xfId="44" applyNumberFormat="1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Alignment="1">
      <alignment horizontal="left" indent="1"/>
    </xf>
    <xf numFmtId="169" fontId="0" fillId="0" borderId="0" xfId="44" applyNumberFormat="1" applyFont="1" applyBorder="1" applyAlignment="1">
      <alignment/>
    </xf>
    <xf numFmtId="165" fontId="13" fillId="0" borderId="0" xfId="60" applyNumberFormat="1" applyFont="1" applyBorder="1" applyAlignment="1">
      <alignment horizontal="center"/>
    </xf>
    <xf numFmtId="165" fontId="13" fillId="0" borderId="10" xfId="60" applyNumberFormat="1" applyFont="1" applyBorder="1" applyAlignment="1">
      <alignment horizontal="center"/>
    </xf>
    <xf numFmtId="0" fontId="9" fillId="0" borderId="0" xfId="0" applyFont="1" applyAlignment="1">
      <alignment horizontal="left" indent="1"/>
    </xf>
    <xf numFmtId="0" fontId="10" fillId="0" borderId="0" xfId="0" applyFont="1" applyAlignment="1">
      <alignment/>
    </xf>
    <xf numFmtId="169" fontId="7" fillId="0" borderId="17" xfId="44" applyNumberFormat="1" applyFont="1" applyBorder="1" applyAlignment="1">
      <alignment/>
    </xf>
    <xf numFmtId="165" fontId="12" fillId="0" borderId="17" xfId="60" applyNumberFormat="1" applyFont="1" applyBorder="1" applyAlignment="1">
      <alignment horizontal="center"/>
    </xf>
    <xf numFmtId="169" fontId="0" fillId="0" borderId="0" xfId="0" applyNumberFormat="1" applyFont="1" applyBorder="1" applyAlignment="1">
      <alignment/>
    </xf>
    <xf numFmtId="0" fontId="0" fillId="0" borderId="18" xfId="0" applyBorder="1" applyAlignment="1">
      <alignment/>
    </xf>
    <xf numFmtId="5" fontId="0" fillId="0" borderId="0" xfId="42" applyNumberFormat="1" applyFont="1" applyBorder="1" applyAlignment="1">
      <alignment horizontal="center"/>
    </xf>
    <xf numFmtId="0" fontId="4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5" fillId="0" borderId="14" xfId="0" applyFont="1" applyBorder="1" applyAlignment="1" quotePrefix="1">
      <alignment horizontal="right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169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4" xfId="0" applyFont="1" applyBorder="1" applyAlignment="1">
      <alignment/>
    </xf>
    <xf numFmtId="169" fontId="3" fillId="0" borderId="22" xfId="0" applyNumberFormat="1" applyFont="1" applyBorder="1" applyAlignment="1">
      <alignment/>
    </xf>
    <xf numFmtId="0" fontId="0" fillId="0" borderId="23" xfId="0" applyBorder="1" applyAlignment="1">
      <alignment/>
    </xf>
    <xf numFmtId="169" fontId="4" fillId="0" borderId="24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169" fontId="3" fillId="0" borderId="22" xfId="44" applyNumberFormat="1" applyFont="1" applyBorder="1" applyAlignment="1">
      <alignment/>
    </xf>
    <xf numFmtId="0" fontId="3" fillId="0" borderId="14" xfId="0" applyFont="1" applyBorder="1" applyAlignment="1" quotePrefix="1">
      <alignment horizontal="right"/>
    </xf>
    <xf numFmtId="41" fontId="3" fillId="0" borderId="15" xfId="44" applyNumberFormat="1" applyFont="1" applyBorder="1" applyAlignment="1">
      <alignment/>
    </xf>
    <xf numFmtId="41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left" indent="2"/>
    </xf>
    <xf numFmtId="0" fontId="7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  <xf numFmtId="41" fontId="0" fillId="0" borderId="10" xfId="0" applyNumberFormat="1" applyFont="1" applyFill="1" applyBorder="1" applyAlignment="1">
      <alignment/>
    </xf>
    <xf numFmtId="41" fontId="0" fillId="0" borderId="18" xfId="0" applyNumberFormat="1" applyFont="1" applyBorder="1" applyAlignment="1">
      <alignment/>
    </xf>
    <xf numFmtId="41" fontId="0" fillId="0" borderId="0" xfId="0" applyNumberFormat="1" applyAlignment="1">
      <alignment/>
    </xf>
    <xf numFmtId="41" fontId="0" fillId="0" borderId="0" xfId="44" applyNumberFormat="1" applyFont="1" applyBorder="1" applyAlignment="1">
      <alignment/>
    </xf>
    <xf numFmtId="41" fontId="11" fillId="0" borderId="0" xfId="60" applyNumberFormat="1" applyFont="1" applyBorder="1" applyAlignment="1">
      <alignment horizontal="center"/>
    </xf>
    <xf numFmtId="41" fontId="11" fillId="0" borderId="0" xfId="60" applyNumberFormat="1" applyFont="1" applyFill="1" applyBorder="1" applyAlignment="1">
      <alignment horizontal="center"/>
    </xf>
    <xf numFmtId="41" fontId="11" fillId="0" borderId="10" xfId="60" applyNumberFormat="1" applyFont="1" applyBorder="1" applyAlignment="1">
      <alignment horizontal="center"/>
    </xf>
    <xf numFmtId="41" fontId="11" fillId="0" borderId="10" xfId="60" applyNumberFormat="1" applyFont="1" applyFill="1" applyBorder="1" applyAlignment="1">
      <alignment horizontal="center"/>
    </xf>
    <xf numFmtId="41" fontId="0" fillId="0" borderId="10" xfId="44" applyNumberFormat="1" applyFont="1" applyBorder="1" applyAlignment="1">
      <alignment/>
    </xf>
    <xf numFmtId="42" fontId="10" fillId="0" borderId="18" xfId="0" applyNumberFormat="1" applyFont="1" applyBorder="1" applyAlignment="1">
      <alignment/>
    </xf>
    <xf numFmtId="42" fontId="7" fillId="0" borderId="18" xfId="44" applyNumberFormat="1" applyFont="1" applyFill="1" applyBorder="1" applyAlignment="1">
      <alignment/>
    </xf>
    <xf numFmtId="42" fontId="7" fillId="0" borderId="25" xfId="44" applyNumberFormat="1" applyFont="1" applyBorder="1" applyAlignment="1">
      <alignment/>
    </xf>
    <xf numFmtId="42" fontId="12" fillId="0" borderId="25" xfId="44" applyNumberFormat="1" applyFont="1" applyBorder="1" applyAlignment="1">
      <alignment horizontal="center"/>
    </xf>
    <xf numFmtId="42" fontId="0" fillId="0" borderId="26" xfId="44" applyNumberFormat="1" applyFont="1" applyBorder="1" applyAlignment="1">
      <alignment/>
    </xf>
    <xf numFmtId="42" fontId="11" fillId="0" borderId="26" xfId="44" applyNumberFormat="1" applyFont="1" applyBorder="1" applyAlignment="1">
      <alignment horizontal="center"/>
    </xf>
    <xf numFmtId="42" fontId="11" fillId="0" borderId="26" xfId="60" applyNumberFormat="1" applyFont="1" applyBorder="1" applyAlignment="1">
      <alignment horizontal="center"/>
    </xf>
    <xf numFmtId="42" fontId="7" fillId="0" borderId="18" xfId="44" applyNumberFormat="1" applyFont="1" applyBorder="1" applyAlignment="1">
      <alignment/>
    </xf>
    <xf numFmtId="42" fontId="12" fillId="0" borderId="18" xfId="44" applyNumberFormat="1" applyFont="1" applyBorder="1" applyAlignment="1">
      <alignment horizontal="center"/>
    </xf>
    <xf numFmtId="42" fontId="7" fillId="0" borderId="0" xfId="44" applyNumberFormat="1" applyFont="1" applyBorder="1" applyAlignment="1">
      <alignment/>
    </xf>
    <xf numFmtId="42" fontId="12" fillId="0" borderId="0" xfId="60" applyNumberFormat="1" applyFont="1" applyBorder="1" applyAlignment="1">
      <alignment horizontal="center"/>
    </xf>
    <xf numFmtId="42" fontId="0" fillId="0" borderId="0" xfId="0" applyNumberFormat="1" applyAlignment="1">
      <alignment/>
    </xf>
    <xf numFmtId="42" fontId="0" fillId="0" borderId="0" xfId="0" applyNumberFormat="1" applyFont="1" applyAlignment="1">
      <alignment/>
    </xf>
    <xf numFmtId="42" fontId="7" fillId="0" borderId="17" xfId="44" applyNumberFormat="1" applyFont="1" applyBorder="1" applyAlignment="1">
      <alignment/>
    </xf>
    <xf numFmtId="5" fontId="0" fillId="0" borderId="0" xfId="0" applyNumberFormat="1" applyAlignment="1">
      <alignment/>
    </xf>
    <xf numFmtId="0" fontId="7" fillId="0" borderId="10" xfId="0" applyFont="1" applyFill="1" applyBorder="1" applyAlignment="1">
      <alignment horizontal="center"/>
    </xf>
    <xf numFmtId="41" fontId="0" fillId="0" borderId="0" xfId="44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41" fontId="0" fillId="0" borderId="10" xfId="44" applyNumberFormat="1" applyFont="1" applyFill="1" applyBorder="1" applyAlignment="1">
      <alignment/>
    </xf>
    <xf numFmtId="41" fontId="0" fillId="0" borderId="18" xfId="0" applyNumberFormat="1" applyFont="1" applyFill="1" applyBorder="1" applyAlignment="1">
      <alignment/>
    </xf>
    <xf numFmtId="42" fontId="0" fillId="0" borderId="0" xfId="0" applyNumberFormat="1" applyFont="1" applyFill="1" applyAlignment="1">
      <alignment/>
    </xf>
    <xf numFmtId="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9" fillId="0" borderId="14" xfId="0" applyFont="1" applyBorder="1" applyAlignment="1" quotePrefix="1">
      <alignment horizontal="right"/>
    </xf>
    <xf numFmtId="0" fontId="9" fillId="0" borderId="0" xfId="0" applyFont="1" applyBorder="1" applyAlignment="1" quotePrefix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/>
    </xf>
    <xf numFmtId="41" fontId="9" fillId="0" borderId="15" xfId="44" applyNumberFormat="1" applyFont="1" applyBorder="1" applyAlignment="1">
      <alignment/>
    </xf>
    <xf numFmtId="0" fontId="9" fillId="0" borderId="14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165" fontId="0" fillId="0" borderId="0" xfId="6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2" fontId="7" fillId="0" borderId="24" xfId="44" applyNumberFormat="1" applyFont="1" applyBorder="1" applyAlignment="1">
      <alignment/>
    </xf>
    <xf numFmtId="0" fontId="8" fillId="0" borderId="14" xfId="0" applyFont="1" applyBorder="1" applyAlignment="1">
      <alignment/>
    </xf>
    <xf numFmtId="0" fontId="0" fillId="0" borderId="14" xfId="0" applyBorder="1" applyAlignment="1" quotePrefix="1">
      <alignment horizontal="right"/>
    </xf>
    <xf numFmtId="169" fontId="0" fillId="0" borderId="15" xfId="44" applyNumberFormat="1" applyFont="1" applyBorder="1" applyAlignment="1">
      <alignment horizontal="right"/>
    </xf>
    <xf numFmtId="41" fontId="0" fillId="0" borderId="15" xfId="44" applyNumberFormat="1" applyFont="1" applyBorder="1" applyAlignment="1">
      <alignment/>
    </xf>
    <xf numFmtId="41" fontId="0" fillId="0" borderId="23" xfId="44" applyNumberFormat="1" applyFont="1" applyBorder="1" applyAlignment="1">
      <alignment/>
    </xf>
    <xf numFmtId="0" fontId="7" fillId="0" borderId="14" xfId="0" applyFont="1" applyBorder="1" applyAlignment="1">
      <alignment/>
    </xf>
    <xf numFmtId="169" fontId="7" fillId="0" borderId="24" xfId="0" applyNumberFormat="1" applyFont="1" applyBorder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169" fontId="21" fillId="33" borderId="0" xfId="44" applyNumberFormat="1" applyFont="1" applyFill="1" applyAlignment="1">
      <alignment horizontal="center"/>
    </xf>
    <xf numFmtId="41" fontId="21" fillId="33" borderId="10" xfId="0" applyNumberFormat="1" applyFont="1" applyFill="1" applyBorder="1" applyAlignment="1">
      <alignment horizontal="center"/>
    </xf>
    <xf numFmtId="41" fontId="0" fillId="0" borderId="0" xfId="0" applyNumberFormat="1" applyFont="1" applyAlignment="1">
      <alignment horizontal="center"/>
    </xf>
    <xf numFmtId="169" fontId="0" fillId="0" borderId="0" xfId="44" applyNumberFormat="1" applyFont="1" applyAlignment="1">
      <alignment horizontal="center"/>
    </xf>
    <xf numFmtId="41" fontId="9" fillId="0" borderId="0" xfId="0" applyNumberFormat="1" applyFont="1" applyAlignment="1">
      <alignment horizontal="center"/>
    </xf>
    <xf numFmtId="41" fontId="9" fillId="0" borderId="0" xfId="0" applyNumberFormat="1" applyFont="1" applyBorder="1" applyAlignment="1">
      <alignment horizontal="center"/>
    </xf>
    <xf numFmtId="169" fontId="21" fillId="33" borderId="17" xfId="44" applyNumberFormat="1" applyFont="1" applyFill="1" applyBorder="1" applyAlignment="1">
      <alignment horizontal="center"/>
    </xf>
    <xf numFmtId="169" fontId="21" fillId="33" borderId="0" xfId="44" applyNumberFormat="1" applyFont="1" applyFill="1" applyBorder="1" applyAlignment="1">
      <alignment horizontal="center"/>
    </xf>
    <xf numFmtId="41" fontId="21" fillId="0" borderId="0" xfId="0" applyNumberFormat="1" applyFont="1" applyBorder="1" applyAlignment="1">
      <alignment horizontal="center"/>
    </xf>
    <xf numFmtId="169" fontId="21" fillId="33" borderId="10" xfId="44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169" fontId="21" fillId="0" borderId="0" xfId="44" applyNumberFormat="1" applyFont="1" applyBorder="1" applyAlignment="1">
      <alignment horizontal="center"/>
    </xf>
    <xf numFmtId="41" fontId="17" fillId="0" borderId="0" xfId="0" applyNumberFormat="1" applyFont="1" applyBorder="1" applyAlignment="1">
      <alignment/>
    </xf>
    <xf numFmtId="169" fontId="17" fillId="0" borderId="0" xfId="44" applyNumberFormat="1" applyFont="1" applyBorder="1" applyAlignment="1">
      <alignment/>
    </xf>
    <xf numFmtId="0" fontId="17" fillId="0" borderId="0" xfId="0" applyFont="1" applyBorder="1" applyAlignment="1">
      <alignment/>
    </xf>
    <xf numFmtId="169" fontId="21" fillId="33" borderId="25" xfId="44" applyNumberFormat="1" applyFont="1" applyFill="1" applyBorder="1" applyAlignment="1">
      <alignment horizontal="center"/>
    </xf>
    <xf numFmtId="169" fontId="21" fillId="33" borderId="18" xfId="44" applyNumberFormat="1" applyFont="1" applyFill="1" applyBorder="1" applyAlignment="1">
      <alignment horizontal="center"/>
    </xf>
    <xf numFmtId="169" fontId="21" fillId="33" borderId="26" xfId="44" applyNumberFormat="1" applyFont="1" applyFill="1" applyBorder="1" applyAlignment="1">
      <alignment horizontal="center"/>
    </xf>
    <xf numFmtId="41" fontId="10" fillId="33" borderId="18" xfId="0" applyNumberFormat="1" applyFont="1" applyFill="1" applyBorder="1" applyAlignment="1">
      <alignment horizontal="center"/>
    </xf>
    <xf numFmtId="42" fontId="10" fillId="33" borderId="0" xfId="44" applyNumberFormat="1" applyFont="1" applyFill="1" applyBorder="1" applyAlignment="1">
      <alignment horizontal="center"/>
    </xf>
    <xf numFmtId="41" fontId="10" fillId="0" borderId="0" xfId="0" applyNumberFormat="1" applyFont="1" applyFill="1" applyBorder="1" applyAlignment="1">
      <alignment horizontal="center"/>
    </xf>
    <xf numFmtId="41" fontId="10" fillId="0" borderId="0" xfId="44" applyNumberFormat="1" applyFont="1" applyFill="1" applyBorder="1" applyAlignment="1">
      <alignment horizontal="center"/>
    </xf>
    <xf numFmtId="42" fontId="10" fillId="33" borderId="25" xfId="44" applyNumberFormat="1" applyFont="1" applyFill="1" applyBorder="1" applyAlignment="1">
      <alignment horizontal="center"/>
    </xf>
    <xf numFmtId="42" fontId="10" fillId="0" borderId="0" xfId="0" applyNumberFormat="1" applyFont="1" applyFill="1" applyAlignment="1">
      <alignment horizontal="center"/>
    </xf>
    <xf numFmtId="42" fontId="10" fillId="33" borderId="18" xfId="44" applyNumberFormat="1" applyFont="1" applyFill="1" applyBorder="1" applyAlignment="1">
      <alignment horizontal="center"/>
    </xf>
    <xf numFmtId="42" fontId="10" fillId="33" borderId="17" xfId="44" applyNumberFormat="1" applyFont="1" applyFill="1" applyBorder="1" applyAlignment="1">
      <alignment horizontal="center"/>
    </xf>
    <xf numFmtId="169" fontId="5" fillId="34" borderId="15" xfId="44" applyNumberFormat="1" applyFont="1" applyFill="1" applyBorder="1" applyAlignment="1" applyProtection="1">
      <alignment/>
      <protection locked="0"/>
    </xf>
    <xf numFmtId="41" fontId="5" fillId="34" borderId="15" xfId="44" applyNumberFormat="1" applyFont="1" applyFill="1" applyBorder="1" applyAlignment="1" applyProtection="1">
      <alignment/>
      <protection locked="0"/>
    </xf>
    <xf numFmtId="41" fontId="5" fillId="34" borderId="23" xfId="44" applyNumberFormat="1" applyFont="1" applyFill="1" applyBorder="1" applyAlignment="1" applyProtection="1">
      <alignment/>
      <protection locked="0"/>
    </xf>
    <xf numFmtId="201" fontId="9" fillId="34" borderId="0" xfId="0" applyNumberFormat="1" applyFont="1" applyFill="1" applyBorder="1" applyAlignment="1" applyProtection="1">
      <alignment horizontal="left"/>
      <protection locked="0"/>
    </xf>
    <xf numFmtId="42" fontId="9" fillId="34" borderId="15" xfId="44" applyNumberFormat="1" applyFont="1" applyFill="1" applyBorder="1" applyAlignment="1" applyProtection="1">
      <alignment/>
      <protection locked="0"/>
    </xf>
    <xf numFmtId="41" fontId="9" fillId="34" borderId="15" xfId="44" applyNumberFormat="1" applyFont="1" applyFill="1" applyBorder="1" applyAlignment="1" applyProtection="1">
      <alignment/>
      <protection locked="0"/>
    </xf>
    <xf numFmtId="41" fontId="9" fillId="34" borderId="23" xfId="44" applyNumberFormat="1" applyFont="1" applyFill="1" applyBorder="1" applyAlignment="1" applyProtection="1">
      <alignment/>
      <protection locked="0"/>
    </xf>
    <xf numFmtId="0" fontId="9" fillId="34" borderId="0" xfId="0" applyFont="1" applyFill="1" applyBorder="1" applyAlignment="1" applyProtection="1">
      <alignment horizontal="right"/>
      <protection locked="0"/>
    </xf>
    <xf numFmtId="165" fontId="9" fillId="34" borderId="0" xfId="60" applyNumberFormat="1" applyFont="1" applyFill="1" applyBorder="1" applyAlignment="1" applyProtection="1">
      <alignment horizontal="right"/>
      <protection locked="0"/>
    </xf>
    <xf numFmtId="201" fontId="9" fillId="34" borderId="0" xfId="0" applyNumberFormat="1" applyFont="1" applyFill="1" applyBorder="1" applyAlignment="1" applyProtection="1">
      <alignment horizontal="right"/>
      <protection locked="0"/>
    </xf>
    <xf numFmtId="0" fontId="10" fillId="34" borderId="10" xfId="0" applyFont="1" applyFill="1" applyBorder="1" applyAlignment="1" applyProtection="1">
      <alignment horizontal="center"/>
      <protection locked="0"/>
    </xf>
    <xf numFmtId="169" fontId="9" fillId="34" borderId="0" xfId="44" applyNumberFormat="1" applyFont="1" applyFill="1" applyAlignment="1" applyProtection="1">
      <alignment/>
      <protection locked="0"/>
    </xf>
    <xf numFmtId="165" fontId="11" fillId="34" borderId="0" xfId="60" applyNumberFormat="1" applyFont="1" applyFill="1" applyAlignment="1" applyProtection="1">
      <alignment horizontal="center"/>
      <protection locked="0"/>
    </xf>
    <xf numFmtId="41" fontId="9" fillId="34" borderId="0" xfId="0" applyNumberFormat="1" applyFont="1" applyFill="1" applyAlignment="1" applyProtection="1">
      <alignment/>
      <protection locked="0"/>
    </xf>
    <xf numFmtId="41" fontId="9" fillId="34" borderId="10" xfId="0" applyNumberFormat="1" applyFont="1" applyFill="1" applyBorder="1" applyAlignment="1" applyProtection="1">
      <alignment/>
      <protection locked="0"/>
    </xf>
    <xf numFmtId="165" fontId="11" fillId="34" borderId="10" xfId="60" applyNumberFormat="1" applyFont="1" applyFill="1" applyBorder="1" applyAlignment="1" applyProtection="1">
      <alignment horizontal="center"/>
      <protection locked="0"/>
    </xf>
    <xf numFmtId="169" fontId="9" fillId="34" borderId="0" xfId="44" applyNumberFormat="1" applyFont="1" applyFill="1" applyBorder="1" applyAlignment="1" applyProtection="1">
      <alignment/>
      <protection locked="0"/>
    </xf>
    <xf numFmtId="165" fontId="13" fillId="34" borderId="0" xfId="60" applyNumberFormat="1" applyFont="1" applyFill="1" applyBorder="1" applyAlignment="1" applyProtection="1">
      <alignment horizontal="center"/>
      <protection locked="0"/>
    </xf>
    <xf numFmtId="41" fontId="9" fillId="34" borderId="0" xfId="0" applyNumberFormat="1" applyFont="1" applyFill="1" applyBorder="1" applyAlignment="1" applyProtection="1">
      <alignment/>
      <protection locked="0"/>
    </xf>
    <xf numFmtId="165" fontId="13" fillId="34" borderId="10" xfId="60" applyNumberFormat="1" applyFont="1" applyFill="1" applyBorder="1" applyAlignment="1" applyProtection="1">
      <alignment horizontal="center"/>
      <protection locked="0"/>
    </xf>
    <xf numFmtId="169" fontId="9" fillId="34" borderId="10" xfId="44" applyNumberFormat="1" applyFont="1" applyFill="1" applyBorder="1" applyAlignment="1" applyProtection="1">
      <alignment/>
      <protection locked="0"/>
    </xf>
    <xf numFmtId="42" fontId="10" fillId="34" borderId="18" xfId="44" applyNumberFormat="1" applyFont="1" applyFill="1" applyBorder="1" applyAlignment="1" applyProtection="1">
      <alignment/>
      <protection locked="0"/>
    </xf>
    <xf numFmtId="41" fontId="9" fillId="34" borderId="0" xfId="44" applyNumberFormat="1" applyFont="1" applyFill="1" applyBorder="1" applyAlignment="1" applyProtection="1">
      <alignment/>
      <protection locked="0"/>
    </xf>
    <xf numFmtId="41" fontId="9" fillId="34" borderId="10" xfId="44" applyNumberFormat="1" applyFont="1" applyFill="1" applyBorder="1" applyAlignment="1" applyProtection="1">
      <alignment/>
      <protection locked="0"/>
    </xf>
    <xf numFmtId="41" fontId="9" fillId="34" borderId="18" xfId="0" applyNumberFormat="1" applyFont="1" applyFill="1" applyBorder="1" applyAlignment="1" applyProtection="1">
      <alignment/>
      <protection locked="0"/>
    </xf>
    <xf numFmtId="6" fontId="5" fillId="34" borderId="15" xfId="44" applyNumberFormat="1" applyFont="1" applyFill="1" applyBorder="1" applyAlignment="1" applyProtection="1">
      <alignment/>
      <protection locked="0"/>
    </xf>
    <xf numFmtId="178" fontId="0" fillId="0" borderId="0" xfId="42" applyNumberFormat="1" applyFont="1" applyAlignment="1">
      <alignment/>
    </xf>
    <xf numFmtId="169" fontId="0" fillId="0" borderId="0" xfId="0" applyNumberFormat="1" applyAlignment="1">
      <alignment/>
    </xf>
    <xf numFmtId="169" fontId="0" fillId="0" borderId="0" xfId="0" applyNumberFormat="1" applyFill="1" applyAlignment="1">
      <alignment/>
    </xf>
    <xf numFmtId="0" fontId="18" fillId="0" borderId="0" xfId="53" applyFont="1" applyAlignment="1" applyProtection="1">
      <alignment horizontal="left" wrapText="1"/>
      <protection/>
    </xf>
    <xf numFmtId="0" fontId="3" fillId="0" borderId="0" xfId="53" applyFont="1" applyAlignment="1" applyProtection="1">
      <alignment horizontal="left" wrapText="1"/>
      <protection/>
    </xf>
    <xf numFmtId="0" fontId="6" fillId="34" borderId="0" xfId="57" applyFont="1" applyFill="1" applyBorder="1" applyAlignment="1" applyProtection="1">
      <alignment horizontal="center"/>
      <protection/>
    </xf>
    <xf numFmtId="0" fontId="4" fillId="0" borderId="0" xfId="57" applyFont="1" applyBorder="1" applyAlignment="1" applyProtection="1">
      <alignment horizontal="center"/>
      <protection/>
    </xf>
    <xf numFmtId="0" fontId="20" fillId="0" borderId="0" xfId="57" applyFont="1" applyBorder="1" applyAlignment="1" applyProtection="1">
      <alignment horizontal="center" vertical="center"/>
      <protection/>
    </xf>
    <xf numFmtId="0" fontId="15" fillId="0" borderId="0" xfId="57" applyFont="1" applyBorder="1" applyAlignment="1" applyProtection="1">
      <alignment horizontal="center"/>
      <protection/>
    </xf>
    <xf numFmtId="0" fontId="16" fillId="0" borderId="0" xfId="57" applyFont="1" applyBorder="1" applyAlignment="1" applyProtection="1">
      <alignment horizontal="center"/>
      <protection/>
    </xf>
    <xf numFmtId="0" fontId="0" fillId="0" borderId="0" xfId="57" applyFont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10" fillId="34" borderId="10" xfId="0" applyNumberFormat="1" applyFont="1" applyFill="1" applyBorder="1" applyAlignment="1" applyProtection="1">
      <alignment horizontal="center"/>
      <protection locked="0"/>
    </xf>
    <xf numFmtId="0" fontId="7" fillId="0" borderId="10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04H3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25</xdr:row>
      <xdr:rowOff>76200</xdr:rowOff>
    </xdr:from>
    <xdr:to>
      <xdr:col>6</xdr:col>
      <xdr:colOff>0</xdr:colOff>
      <xdr:row>49</xdr:row>
      <xdr:rowOff>114300</xdr:rowOff>
    </xdr:to>
    <xdr:sp>
      <xdr:nvSpPr>
        <xdr:cNvPr id="1" name="Freeform 4"/>
        <xdr:cNvSpPr>
          <a:spLocks/>
        </xdr:cNvSpPr>
      </xdr:nvSpPr>
      <xdr:spPr>
        <a:xfrm>
          <a:off x="4886325" y="4676775"/>
          <a:ext cx="238125" cy="4667250"/>
        </a:xfrm>
        <a:custGeom>
          <a:pathLst>
            <a:path h="489" w="91">
              <a:moveTo>
                <a:pt x="0" y="489"/>
              </a:moveTo>
              <a:lnTo>
                <a:pt x="91" y="489"/>
              </a:lnTo>
              <a:lnTo>
                <a:pt x="91" y="0"/>
              </a:lnTo>
              <a:lnTo>
                <a:pt x="1" y="0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zoomScale="85" zoomScaleNormal="85" zoomScalePageLayoutView="0" workbookViewId="0" topLeftCell="A1">
      <selection activeCell="A2" sqref="A2:C2"/>
    </sheetView>
  </sheetViews>
  <sheetFormatPr defaultColWidth="9.140625" defaultRowHeight="12.75"/>
  <cols>
    <col min="1" max="1" width="17.28125" style="0" customWidth="1"/>
    <col min="2" max="2" width="31.00390625" style="0" customWidth="1"/>
    <col min="3" max="3" width="36.421875" style="0" customWidth="1"/>
  </cols>
  <sheetData>
    <row r="1" spans="1:3" ht="15.75">
      <c r="A1" s="189" t="s">
        <v>222</v>
      </c>
      <c r="B1" s="189"/>
      <c r="C1" s="189"/>
    </row>
    <row r="2" spans="1:3" ht="15.75">
      <c r="A2" s="189" t="s">
        <v>221</v>
      </c>
      <c r="B2" s="189"/>
      <c r="C2" s="189"/>
    </row>
    <row r="3" spans="1:3" ht="7.5" customHeight="1">
      <c r="A3" s="190"/>
      <c r="B3" s="190"/>
      <c r="C3" s="190"/>
    </row>
    <row r="4" spans="1:3" ht="23.25" customHeight="1">
      <c r="A4" s="191" t="s">
        <v>216</v>
      </c>
      <c r="B4" s="191"/>
      <c r="C4" s="191"/>
    </row>
    <row r="5" ht="7.5" customHeight="1"/>
    <row r="6" spans="1:3" ht="15" customHeight="1">
      <c r="A6" s="187" t="s">
        <v>217</v>
      </c>
      <c r="B6" s="188"/>
      <c r="C6" s="188"/>
    </row>
    <row r="7" spans="1:3" ht="12.75">
      <c r="A7" s="188"/>
      <c r="B7" s="188"/>
      <c r="C7" s="188"/>
    </row>
    <row r="8" spans="1:3" ht="60.75" customHeight="1">
      <c r="A8" s="188"/>
      <c r="B8" s="188"/>
      <c r="C8" s="188"/>
    </row>
    <row r="9" spans="1:3" ht="57" customHeight="1">
      <c r="A9" s="187" t="s">
        <v>215</v>
      </c>
      <c r="B9" s="188"/>
      <c r="C9" s="188"/>
    </row>
    <row r="11" spans="1:3" ht="16.5" customHeight="1">
      <c r="A11" s="104" t="s">
        <v>183</v>
      </c>
      <c r="B11" s="105" t="s">
        <v>207</v>
      </c>
      <c r="C11" s="102"/>
    </row>
    <row r="12" spans="1:3" ht="7.5" customHeight="1">
      <c r="A12" s="102"/>
      <c r="B12" s="102"/>
      <c r="C12" s="102"/>
    </row>
    <row r="13" spans="1:3" ht="16.5" customHeight="1">
      <c r="A13" s="103">
        <v>1</v>
      </c>
      <c r="B13" s="102" t="s">
        <v>196</v>
      </c>
      <c r="C13" s="102"/>
    </row>
    <row r="14" spans="1:3" ht="16.5" customHeight="1">
      <c r="A14" s="126">
        <v>2</v>
      </c>
      <c r="B14" s="127" t="s">
        <v>197</v>
      </c>
      <c r="C14" s="127"/>
    </row>
    <row r="15" spans="1:3" ht="16.5" customHeight="1">
      <c r="A15" s="103" t="s">
        <v>184</v>
      </c>
      <c r="B15" s="102" t="s">
        <v>198</v>
      </c>
      <c r="C15" s="102"/>
    </row>
    <row r="16" spans="1:3" ht="16.5" customHeight="1">
      <c r="A16" s="103" t="s">
        <v>185</v>
      </c>
      <c r="B16" s="102" t="s">
        <v>199</v>
      </c>
      <c r="C16" s="102"/>
    </row>
    <row r="17" spans="1:3" ht="16.5" customHeight="1">
      <c r="A17" s="126" t="s">
        <v>186</v>
      </c>
      <c r="B17" s="127" t="s">
        <v>211</v>
      </c>
      <c r="C17" s="127"/>
    </row>
    <row r="18" spans="1:3" ht="16.5" customHeight="1">
      <c r="A18" s="103" t="s">
        <v>187</v>
      </c>
      <c r="B18" s="102" t="s">
        <v>200</v>
      </c>
      <c r="C18" s="102"/>
    </row>
    <row r="19" spans="1:3" ht="16.5" customHeight="1">
      <c r="A19" s="103" t="s">
        <v>188</v>
      </c>
      <c r="B19" s="102" t="s">
        <v>201</v>
      </c>
      <c r="C19" s="102"/>
    </row>
    <row r="20" spans="1:3" ht="16.5" customHeight="1">
      <c r="A20" s="126" t="s">
        <v>189</v>
      </c>
      <c r="B20" s="127" t="s">
        <v>212</v>
      </c>
      <c r="C20" s="127"/>
    </row>
    <row r="21" spans="1:3" ht="16.5" customHeight="1">
      <c r="A21" s="103" t="s">
        <v>190</v>
      </c>
      <c r="B21" s="102" t="s">
        <v>202</v>
      </c>
      <c r="C21" s="102"/>
    </row>
    <row r="22" spans="1:3" ht="16.5" customHeight="1">
      <c r="A22" s="103" t="s">
        <v>191</v>
      </c>
      <c r="B22" s="102" t="s">
        <v>203</v>
      </c>
      <c r="C22" s="102"/>
    </row>
    <row r="23" spans="1:3" ht="16.5" customHeight="1">
      <c r="A23" s="126" t="s">
        <v>192</v>
      </c>
      <c r="B23" s="127" t="s">
        <v>213</v>
      </c>
      <c r="C23" s="127"/>
    </row>
    <row r="24" spans="1:3" ht="16.5" customHeight="1">
      <c r="A24" s="103" t="s">
        <v>193</v>
      </c>
      <c r="B24" s="102" t="s">
        <v>204</v>
      </c>
      <c r="C24" s="102"/>
    </row>
    <row r="25" spans="1:3" ht="16.5" customHeight="1">
      <c r="A25" s="103" t="s">
        <v>194</v>
      </c>
      <c r="B25" s="102" t="s">
        <v>205</v>
      </c>
      <c r="C25" s="102"/>
    </row>
    <row r="26" spans="1:3" ht="16.5" customHeight="1">
      <c r="A26" s="126" t="s">
        <v>195</v>
      </c>
      <c r="B26" s="127" t="s">
        <v>214</v>
      </c>
      <c r="C26" s="127"/>
    </row>
    <row r="27" spans="1:3" ht="16.5" customHeight="1">
      <c r="A27" s="103">
        <v>7</v>
      </c>
      <c r="B27" s="102" t="s">
        <v>206</v>
      </c>
      <c r="C27" s="102"/>
    </row>
    <row r="28" spans="1:3" ht="16.5" customHeight="1">
      <c r="A28" s="126">
        <v>8</v>
      </c>
      <c r="B28" s="127" t="s">
        <v>209</v>
      </c>
      <c r="C28" s="127"/>
    </row>
    <row r="29" spans="1:3" ht="16.5" customHeight="1">
      <c r="A29" s="103">
        <v>9</v>
      </c>
      <c r="B29" s="102" t="s">
        <v>208</v>
      </c>
      <c r="C29" s="102"/>
    </row>
  </sheetData>
  <sheetProtection/>
  <mergeCells count="6">
    <mergeCell ref="A9:C9"/>
    <mergeCell ref="A6:C8"/>
    <mergeCell ref="A1:C1"/>
    <mergeCell ref="A2:C2"/>
    <mergeCell ref="A3:C3"/>
    <mergeCell ref="A4:C4"/>
  </mergeCells>
  <printOptions horizontalCentered="1"/>
  <pageMargins left="0.25" right="0.5" top="1" bottom="0.75" header="0.75" footer="0.5"/>
  <pageSetup horizontalDpi="600" verticalDpi="600" orientation="portrait" r:id="rId1"/>
  <headerFooter alignWithMargins="0">
    <oddFooter>&amp;L&amp;D
Health Care Administration&amp;R&amp;F, 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zoomScale="85" zoomScaleNormal="85" zoomScalePageLayoutView="0" workbookViewId="0" topLeftCell="A1">
      <pane ySplit="9" topLeftCell="A26" activePane="bottomLeft" state="frozen"/>
      <selection pane="topLeft" activeCell="A1" sqref="A1"/>
      <selection pane="bottomLeft" activeCell="O18" sqref="O18"/>
    </sheetView>
  </sheetViews>
  <sheetFormatPr defaultColWidth="9.140625" defaultRowHeight="12.75"/>
  <cols>
    <col min="1" max="1" width="37.7109375" style="0" customWidth="1"/>
    <col min="2" max="2" width="3.8515625" style="0" customWidth="1"/>
    <col min="3" max="3" width="14.8515625" style="0" customWidth="1"/>
    <col min="4" max="4" width="1.8515625" style="0" customWidth="1"/>
    <col min="5" max="5" width="14.8515625" style="0" customWidth="1"/>
    <col min="6" max="6" width="1.8515625" style="0" customWidth="1"/>
    <col min="7" max="7" width="14.8515625" style="0" customWidth="1"/>
    <col min="8" max="8" width="1.8515625" style="0" customWidth="1"/>
    <col min="9" max="9" width="14.8515625" style="0" customWidth="1"/>
    <col min="10" max="10" width="1.8515625" style="0" customWidth="1"/>
    <col min="11" max="11" width="14.8515625" style="0" customWidth="1"/>
  </cols>
  <sheetData>
    <row r="1" spans="1:11" ht="15.75">
      <c r="A1" s="190" t="str">
        <f>'Table 1'!A1:C1</f>
        <v>50 Granview Dr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5.75">
      <c r="A2" s="190" t="str">
        <f>'Table 1'!A2:C2</f>
        <v>WCMHS Infrastructure Improvement Project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ht="14.25">
      <c r="A3" s="193" t="s">
        <v>176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</row>
    <row r="4" spans="1:11" ht="14.25">
      <c r="A4" s="193" t="s">
        <v>141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</row>
    <row r="5" spans="1:11" ht="14.25">
      <c r="A5" s="193" t="s">
        <v>71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</row>
    <row r="6" ht="15.75" customHeight="1"/>
    <row r="7" spans="3:11" ht="15.75" customHeight="1">
      <c r="C7" s="1"/>
      <c r="D7" s="1"/>
      <c r="E7" s="13"/>
      <c r="F7" s="1"/>
      <c r="G7" s="13" t="s">
        <v>0</v>
      </c>
      <c r="H7" s="26"/>
      <c r="I7" s="13" t="s">
        <v>0</v>
      </c>
      <c r="J7" s="26"/>
      <c r="K7" s="13" t="s">
        <v>0</v>
      </c>
    </row>
    <row r="8" spans="3:11" ht="15.75" customHeight="1">
      <c r="C8" s="13" t="s">
        <v>70</v>
      </c>
      <c r="D8" s="29"/>
      <c r="E8" s="13" t="s">
        <v>179</v>
      </c>
      <c r="F8" s="29"/>
      <c r="G8" s="13" t="s">
        <v>1</v>
      </c>
      <c r="H8" s="29"/>
      <c r="I8" s="13" t="s">
        <v>2</v>
      </c>
      <c r="J8" s="29"/>
      <c r="K8" s="13" t="s">
        <v>3</v>
      </c>
    </row>
    <row r="9" spans="3:11" ht="15.75" customHeight="1">
      <c r="C9" s="196">
        <v>2023</v>
      </c>
      <c r="D9" s="30"/>
      <c r="E9" s="93">
        <v>2024</v>
      </c>
      <c r="F9" s="30"/>
      <c r="G9" s="93">
        <v>2025</v>
      </c>
      <c r="H9" s="30"/>
      <c r="I9" s="93">
        <v>2026</v>
      </c>
      <c r="J9" s="131"/>
      <c r="K9" s="93">
        <v>2027</v>
      </c>
    </row>
    <row r="10" spans="3:11" ht="15.75" customHeight="1">
      <c r="C10" s="23"/>
      <c r="D10" s="24"/>
      <c r="E10" s="18"/>
      <c r="F10" s="24"/>
      <c r="G10" s="18"/>
      <c r="H10" s="24"/>
      <c r="I10" s="18"/>
      <c r="J10" s="24"/>
      <c r="K10" s="18"/>
    </row>
    <row r="11" spans="1:11" ht="15.75" customHeight="1" thickBot="1">
      <c r="A11" s="1" t="s">
        <v>142</v>
      </c>
      <c r="B11" s="26"/>
      <c r="C11" s="179">
        <f>'Table 4A'!C11</f>
        <v>11757910</v>
      </c>
      <c r="D11" s="78"/>
      <c r="E11" s="79">
        <f>+C50</f>
        <v>11757909.88</v>
      </c>
      <c r="F11" s="78"/>
      <c r="G11" s="79">
        <f>+E50</f>
        <v>11980295.88</v>
      </c>
      <c r="H11" s="78"/>
      <c r="I11" s="79">
        <f>+G50</f>
        <v>12195453.089999994</v>
      </c>
      <c r="J11" s="78"/>
      <c r="K11" s="79">
        <f>+I50</f>
        <v>12388197.40229999</v>
      </c>
    </row>
    <row r="12" spans="1:11" ht="15.75" customHeight="1">
      <c r="A12" s="67" t="s">
        <v>143</v>
      </c>
      <c r="B12" s="26"/>
      <c r="C12" s="72"/>
      <c r="D12" s="73"/>
      <c r="E12" s="72"/>
      <c r="F12" s="73"/>
      <c r="G12" s="72"/>
      <c r="H12" s="73"/>
      <c r="I12" s="72"/>
      <c r="J12" s="73"/>
      <c r="K12" s="72"/>
    </row>
    <row r="13" spans="1:11" ht="15.75" customHeight="1">
      <c r="A13" s="66" t="s">
        <v>144</v>
      </c>
      <c r="C13" s="31">
        <f>'Table 3A'!C44</f>
        <v>1368976</v>
      </c>
      <c r="D13" s="73"/>
      <c r="E13" s="31">
        <f>'Table 3A'!E44</f>
        <v>-559099</v>
      </c>
      <c r="F13" s="73"/>
      <c r="G13" s="31">
        <f>'Table 3A'!G44</f>
        <v>-566327.7900000066</v>
      </c>
      <c r="H13" s="73"/>
      <c r="I13" s="31">
        <f>'Table 3A'!I44</f>
        <v>-573740.6877000034</v>
      </c>
      <c r="J13" s="73"/>
      <c r="K13" s="31">
        <f>'Table 3A'!K44</f>
        <v>-581340.9799350053</v>
      </c>
    </row>
    <row r="14" spans="1:11" ht="15.75" customHeight="1">
      <c r="A14" s="66" t="s">
        <v>145</v>
      </c>
      <c r="C14" s="31">
        <f>'Table 3A'!C34</f>
        <v>1237179</v>
      </c>
      <c r="D14" s="73"/>
      <c r="E14" s="31">
        <f>'Table 3A'!E34</f>
        <v>1485205</v>
      </c>
      <c r="F14" s="73"/>
      <c r="G14" s="31">
        <f>'Table 3A'!G34</f>
        <v>1514909.1</v>
      </c>
      <c r="H14" s="73"/>
      <c r="I14" s="31">
        <f>'Table 3A'!I34</f>
        <v>1545207.2820000001</v>
      </c>
      <c r="J14" s="73"/>
      <c r="K14" s="31">
        <f>'Table 3A'!K34</f>
        <v>1576111.4276400001</v>
      </c>
    </row>
    <row r="15" spans="1:14" ht="15.75" customHeight="1">
      <c r="A15" s="66" t="s">
        <v>146</v>
      </c>
      <c r="C15" s="176">
        <f>(4472254.02-5136019.86)*-1</f>
        <v>663765.8400000008</v>
      </c>
      <c r="D15" s="73"/>
      <c r="E15" s="65">
        <f>('Table 4A'!C12-'Table 4A'!E12)+('Table 4A'!C13-'Table 4A'!E13)</f>
        <v>0</v>
      </c>
      <c r="F15" s="74"/>
      <c r="G15" s="65">
        <f>('Table 4A'!E12-'Table 4A'!G12)+('Table 4A'!E13-'Table 4A'!G13)</f>
        <v>0</v>
      </c>
      <c r="H15" s="74"/>
      <c r="I15" s="65">
        <f>('Table 4A'!G12-'Table 4A'!I12)+('Table 4A'!G13-'Table 4A'!I13)</f>
        <v>0</v>
      </c>
      <c r="J15" s="74"/>
      <c r="K15" s="65">
        <f>('Table 4A'!I12-'Table 4A'!K12)+('Table 4A'!I13-'Table 4A'!K13)</f>
        <v>0</v>
      </c>
      <c r="N15" s="25"/>
    </row>
    <row r="16" spans="1:11" ht="15.75" customHeight="1">
      <c r="A16" s="66" t="s">
        <v>147</v>
      </c>
      <c r="C16" s="172">
        <v>45173</v>
      </c>
      <c r="D16" s="75"/>
      <c r="E16" s="69">
        <f>('Table 4A'!C14-'Table 4A'!E14)+('Table 4A'!C15-'Table 4A'!E15)-('Table 4A'!C56-'Table 4A'!E56)</f>
        <v>4999</v>
      </c>
      <c r="F16" s="76"/>
      <c r="G16" s="69">
        <f>('Table 4A'!E14-'Table 4A'!G14)+('Table 4A'!E15-'Table 4A'!G15)-('Table 4A'!E56-'Table 4A'!G56)</f>
        <v>9999</v>
      </c>
      <c r="H16" s="76"/>
      <c r="I16" s="69">
        <f>('Table 4A'!G14-'Table 4A'!I14)+('Table 4A'!G15-'Table 4A'!I15)-('Table 4A'!G56-'Table 4A'!I56)</f>
        <v>4999</v>
      </c>
      <c r="J16" s="76"/>
      <c r="K16" s="69">
        <f>('Table 4A'!I14-'Table 4A'!K14)+('Table 4A'!I15-'Table 4A'!K15)-('Table 4A'!I56-'Table 4A'!K56)</f>
        <v>4998</v>
      </c>
    </row>
    <row r="17" spans="1:11" ht="15.75" customHeight="1" thickBot="1">
      <c r="A17" s="67" t="s">
        <v>148</v>
      </c>
      <c r="B17" s="26"/>
      <c r="C17" s="80">
        <f>SUM(C13:C16)</f>
        <v>3315093.840000001</v>
      </c>
      <c r="D17" s="81"/>
      <c r="E17" s="80">
        <f>SUM(E13:E16)</f>
        <v>931105</v>
      </c>
      <c r="F17" s="81"/>
      <c r="G17" s="80">
        <f>SUM(G13:G16)</f>
        <v>958580.3099999935</v>
      </c>
      <c r="H17" s="81"/>
      <c r="I17" s="80">
        <f>SUM(I13:I16)</f>
        <v>976465.5942999967</v>
      </c>
      <c r="J17" s="81"/>
      <c r="K17" s="80">
        <f>SUM(K13:K16)</f>
        <v>999768.4477049948</v>
      </c>
    </row>
    <row r="18" spans="1:11" ht="15.75" customHeight="1">
      <c r="A18" s="1"/>
      <c r="B18" s="26"/>
      <c r="C18" s="72"/>
      <c r="D18" s="73"/>
      <c r="E18" s="72"/>
      <c r="F18" s="73"/>
      <c r="G18" s="72"/>
      <c r="H18" s="73"/>
      <c r="I18" s="72"/>
      <c r="J18" s="73"/>
      <c r="K18" s="72"/>
    </row>
    <row r="19" spans="1:11" ht="15.75" customHeight="1">
      <c r="A19" s="67" t="s">
        <v>149</v>
      </c>
      <c r="B19" s="26"/>
      <c r="C19" s="31"/>
      <c r="D19" s="31"/>
      <c r="E19" s="31"/>
      <c r="F19" s="31"/>
      <c r="G19" s="31"/>
      <c r="H19" s="31"/>
      <c r="I19" s="31"/>
      <c r="J19" s="31"/>
      <c r="K19" s="31"/>
    </row>
    <row r="20" spans="1:11" ht="15.75" customHeight="1">
      <c r="A20" s="66" t="s">
        <v>150</v>
      </c>
      <c r="B20" s="26"/>
      <c r="C20" s="71"/>
      <c r="D20" s="71"/>
      <c r="E20" s="71"/>
      <c r="F20" s="71"/>
      <c r="G20" s="71"/>
      <c r="H20" s="71"/>
      <c r="I20" s="71"/>
      <c r="J20" s="71"/>
      <c r="K20" s="71"/>
    </row>
    <row r="21" spans="1:11" ht="15.75" customHeight="1">
      <c r="A21" s="68" t="s">
        <v>151</v>
      </c>
      <c r="C21" s="31"/>
      <c r="D21" s="73"/>
      <c r="E21" s="31"/>
      <c r="F21" s="73"/>
      <c r="G21" s="31"/>
      <c r="H21" s="73"/>
      <c r="I21" s="31"/>
      <c r="J21" s="73"/>
      <c r="K21" s="31"/>
    </row>
    <row r="22" spans="1:11" ht="15.75" customHeight="1">
      <c r="A22" s="68" t="s">
        <v>152</v>
      </c>
      <c r="C22" s="31"/>
      <c r="D22" s="73"/>
      <c r="E22" s="31"/>
      <c r="F22" s="73"/>
      <c r="G22" s="31"/>
      <c r="H22" s="73"/>
      <c r="I22" s="31"/>
      <c r="J22" s="73"/>
      <c r="K22" s="31"/>
    </row>
    <row r="23" spans="1:11" ht="15.75" customHeight="1">
      <c r="A23" s="68" t="s">
        <v>153</v>
      </c>
      <c r="C23" s="180">
        <f>1196486.46-C14</f>
        <v>-40692.54000000004</v>
      </c>
      <c r="D23" s="73"/>
      <c r="E23" s="72">
        <f>('Table 4A'!C37-'Table 4A'!E37)-'Table 5A'!E14</f>
        <v>-288719</v>
      </c>
      <c r="F23" s="73"/>
      <c r="G23" s="72">
        <f>('Table 4A'!E37-'Table 4A'!G37)-'Table 5A'!G14</f>
        <v>-318423.1000000001</v>
      </c>
      <c r="H23" s="73"/>
      <c r="I23" s="72">
        <f>('Table 4A'!G37-'Table 4A'!I37)-'Table 5A'!I14</f>
        <v>-348721.2820000001</v>
      </c>
      <c r="J23" s="73"/>
      <c r="K23" s="72">
        <f>('Table 4A'!I37-'Table 4A'!K37)-'Table 5A'!K14</f>
        <v>-379625.4276400001</v>
      </c>
    </row>
    <row r="24" spans="1:11" ht="15.75" customHeight="1">
      <c r="A24" s="68" t="s">
        <v>154</v>
      </c>
      <c r="C24" s="181">
        <v>-2111689.42</v>
      </c>
      <c r="D24" s="75"/>
      <c r="E24" s="77">
        <f>'Table 4A'!C31-'Table 4A'!E31</f>
        <v>0</v>
      </c>
      <c r="F24" s="75"/>
      <c r="G24" s="77">
        <f>'Table 4A'!E31-'Table 4A'!G31</f>
        <v>0</v>
      </c>
      <c r="H24" s="75"/>
      <c r="I24" s="77">
        <f>'Table 4A'!G31-'Table 4A'!I31</f>
        <v>0</v>
      </c>
      <c r="J24" s="75"/>
      <c r="K24" s="77">
        <f>'Table 4A'!I31-'Table 4A'!K31</f>
        <v>0</v>
      </c>
    </row>
    <row r="25" spans="1:11" ht="15.75" customHeight="1">
      <c r="A25" s="68" t="s">
        <v>155</v>
      </c>
      <c r="C25" s="82">
        <f>SUM(C21:C24)</f>
        <v>-2152381.96</v>
      </c>
      <c r="D25" s="83"/>
      <c r="E25" s="82">
        <f>SUM(E21:E24)</f>
        <v>-288719</v>
      </c>
      <c r="F25" s="83"/>
      <c r="G25" s="82">
        <f>SUM(G21:G24)</f>
        <v>-318423.1000000001</v>
      </c>
      <c r="H25" s="83"/>
      <c r="I25" s="82">
        <f>SUM(I21:I24)</f>
        <v>-348721.2820000001</v>
      </c>
      <c r="J25" s="83"/>
      <c r="K25" s="82">
        <f>SUM(K21:K24)</f>
        <v>-379625.4276400001</v>
      </c>
    </row>
    <row r="26" spans="1:11" ht="15.75" customHeight="1">
      <c r="A26" s="67"/>
      <c r="B26" s="26"/>
      <c r="C26" s="31"/>
      <c r="D26" s="73"/>
      <c r="E26" s="31"/>
      <c r="F26" s="73"/>
      <c r="G26" s="31"/>
      <c r="H26" s="73"/>
      <c r="I26" s="31"/>
      <c r="J26" s="73"/>
      <c r="K26" s="31"/>
    </row>
    <row r="27" spans="1:11" ht="15.75" customHeight="1">
      <c r="A27" s="66" t="s">
        <v>156</v>
      </c>
      <c r="B27" s="26"/>
      <c r="C27" s="72"/>
      <c r="D27" s="73"/>
      <c r="E27" s="72"/>
      <c r="F27" s="73"/>
      <c r="G27" s="72"/>
      <c r="H27" s="73"/>
      <c r="I27" s="72"/>
      <c r="J27" s="73"/>
      <c r="K27" s="72"/>
    </row>
    <row r="28" spans="1:11" ht="15.75" customHeight="1">
      <c r="A28" s="68" t="s">
        <v>41</v>
      </c>
      <c r="C28" s="171">
        <f>-747712</f>
        <v>-747712</v>
      </c>
      <c r="D28" s="73"/>
      <c r="E28" s="72">
        <f>'Table 4A'!C20-'Table 4A'!E20</f>
        <v>0</v>
      </c>
      <c r="F28" s="73"/>
      <c r="G28" s="72">
        <f>'Table 4A'!E20-'Table 4A'!G20</f>
        <v>0</v>
      </c>
      <c r="H28" s="73"/>
      <c r="I28" s="72">
        <f>'Table 4A'!G20-'Table 4A'!I20</f>
        <v>0</v>
      </c>
      <c r="J28" s="73"/>
      <c r="K28" s="72">
        <f>'Table 4A'!I20-'Table 4A'!K20</f>
        <v>0</v>
      </c>
    </row>
    <row r="29" spans="1:12" ht="15.75" customHeight="1">
      <c r="A29" s="68" t="s">
        <v>157</v>
      </c>
      <c r="C29" s="171"/>
      <c r="D29" s="12"/>
      <c r="E29" s="12">
        <f>('Table 4A'!C21-'Table 4A'!E21)+('Table 4A'!C22-'Table 4A'!E22)+('Table 4A'!C41-'Table 4A'!E41)-('Table 4A'!C64-'Table 4A'!E64)</f>
        <v>0</v>
      </c>
      <c r="F29" s="12"/>
      <c r="G29" s="12">
        <f>('Table 4A'!E21-'Table 4A'!G21)+('Table 4A'!E22-'Table 4A'!G22)+('Table 4A'!E41-'Table 4A'!G41)-('Table 4A'!E64-'Table 4A'!G64)</f>
        <v>0</v>
      </c>
      <c r="H29" s="12"/>
      <c r="I29" s="12">
        <f>('Table 4A'!G21-'Table 4A'!I21)+('Table 4A'!G22-'Table 4A'!I22)+('Table 4A'!G41-'Table 4A'!I41)-('Table 4A'!G64-'Table 4A'!I64)</f>
        <v>0</v>
      </c>
      <c r="J29" s="12"/>
      <c r="K29" s="12">
        <f>('Table 4A'!I21-'Table 4A'!K21)+('Table 4A'!I22-'Table 4A'!K22)+('Table 4A'!I41-'Table 4A'!K41)-('Table 4A'!I64-'Table 4A'!K64)</f>
        <v>0</v>
      </c>
      <c r="L29" s="26"/>
    </row>
    <row r="30" spans="1:11" ht="15.75" customHeight="1">
      <c r="A30" s="68" t="s">
        <v>158</v>
      </c>
      <c r="C30" s="82">
        <f>SUM(C28:C29)</f>
        <v>-747712</v>
      </c>
      <c r="D30" s="84"/>
      <c r="E30" s="82">
        <f>SUM(E28:E29)</f>
        <v>0</v>
      </c>
      <c r="F30" s="84"/>
      <c r="G30" s="82">
        <f>SUM(G28:G29)</f>
        <v>0</v>
      </c>
      <c r="H30" s="84"/>
      <c r="I30" s="82">
        <f>SUM(I28:I29)</f>
        <v>0</v>
      </c>
      <c r="J30" s="84"/>
      <c r="K30" s="82">
        <f>SUM(K28:K29)</f>
        <v>0</v>
      </c>
    </row>
    <row r="31" spans="1:11" ht="15.75" customHeight="1">
      <c r="A31" s="1"/>
      <c r="B31" s="26"/>
      <c r="C31" s="72"/>
      <c r="D31" s="73"/>
      <c r="E31" s="72"/>
      <c r="F31" s="73"/>
      <c r="G31" s="72"/>
      <c r="H31" s="73"/>
      <c r="I31" s="72"/>
      <c r="J31" s="73"/>
      <c r="K31" s="72"/>
    </row>
    <row r="32" spans="1:11" ht="15.75" customHeight="1" thickBot="1">
      <c r="A32" s="67" t="s">
        <v>159</v>
      </c>
      <c r="B32" s="26"/>
      <c r="C32" s="85">
        <f>C25+C30</f>
        <v>-2900093.96</v>
      </c>
      <c r="D32" s="86"/>
      <c r="E32" s="85">
        <f>E25+E30</f>
        <v>-288719</v>
      </c>
      <c r="F32" s="86"/>
      <c r="G32" s="85">
        <f>G25+G30</f>
        <v>-318423.1000000001</v>
      </c>
      <c r="H32" s="86"/>
      <c r="I32" s="85">
        <f>I25+I30</f>
        <v>-348721.2820000001</v>
      </c>
      <c r="J32" s="86"/>
      <c r="K32" s="85">
        <f>K25+K30</f>
        <v>-379625.4276400001</v>
      </c>
    </row>
    <row r="33" spans="1:11" ht="15.75" customHeight="1">
      <c r="A33" s="67"/>
      <c r="B33" s="26"/>
      <c r="C33" s="31"/>
      <c r="D33" s="73"/>
      <c r="E33" s="31"/>
      <c r="F33" s="73"/>
      <c r="G33" s="31"/>
      <c r="H33" s="73"/>
      <c r="I33" s="31"/>
      <c r="J33" s="73"/>
      <c r="K33" s="31"/>
    </row>
    <row r="34" spans="1:11" ht="15.75" customHeight="1">
      <c r="A34" s="67" t="s">
        <v>160</v>
      </c>
      <c r="B34" s="26"/>
      <c r="C34" s="31"/>
      <c r="D34" s="73"/>
      <c r="E34" s="31"/>
      <c r="F34" s="73"/>
      <c r="G34" s="31"/>
      <c r="H34" s="73"/>
      <c r="I34" s="31"/>
      <c r="J34" s="73"/>
      <c r="K34" s="31"/>
    </row>
    <row r="35" spans="1:11" ht="15.75" customHeight="1">
      <c r="A35" s="66" t="s">
        <v>161</v>
      </c>
      <c r="B35" s="26"/>
      <c r="C35" s="31"/>
      <c r="D35" s="73"/>
      <c r="E35" s="31"/>
      <c r="F35" s="73"/>
      <c r="G35" s="31"/>
      <c r="H35" s="73"/>
      <c r="I35" s="31"/>
      <c r="J35" s="73"/>
      <c r="K35" s="31"/>
    </row>
    <row r="36" spans="1:11" ht="15.75" customHeight="1">
      <c r="A36" s="68" t="s">
        <v>162</v>
      </c>
      <c r="C36" s="176">
        <v>-415000</v>
      </c>
      <c r="D36" s="73"/>
      <c r="E36" s="31">
        <f>-('Table 4A'!C59-'Table 4A'!E59)</f>
        <v>-420000</v>
      </c>
      <c r="F36" s="73"/>
      <c r="G36" s="31">
        <f>-('Table 4A'!E59-'Table 4A'!G59)</f>
        <v>-425000</v>
      </c>
      <c r="H36" s="73"/>
      <c r="I36" s="31">
        <f>-('Table 4A'!G59-'Table 4A'!I59)</f>
        <v>-435000</v>
      </c>
      <c r="J36" s="73"/>
      <c r="K36" s="31">
        <f>-('Table 4A'!I59-'Table 4A'!K59)</f>
        <v>-440000</v>
      </c>
    </row>
    <row r="37" spans="1:11" ht="15.75" customHeight="1">
      <c r="A37" s="68" t="s">
        <v>163</v>
      </c>
      <c r="C37" s="176"/>
      <c r="D37" s="73"/>
      <c r="E37" s="31"/>
      <c r="F37" s="73"/>
      <c r="G37" s="31"/>
      <c r="H37" s="73"/>
      <c r="I37" s="31"/>
      <c r="J37" s="73"/>
      <c r="K37" s="31"/>
    </row>
    <row r="38" spans="1:11" ht="15.75" customHeight="1" thickBot="1">
      <c r="A38" s="68" t="s">
        <v>164</v>
      </c>
      <c r="C38" s="182">
        <v>0</v>
      </c>
      <c r="D38" s="70"/>
      <c r="E38" s="70">
        <f>-('Table 4A'!C60-'Table 4A'!E60)-('Table 4A'!C61-'Table 4A'!E61)</f>
        <v>0</v>
      </c>
      <c r="F38" s="70"/>
      <c r="G38" s="70">
        <f>-('Table 4A'!E60-'Table 4A'!G60)-('Table 4A'!E61-'Table 4A'!G61)</f>
        <v>0</v>
      </c>
      <c r="H38" s="70"/>
      <c r="I38" s="70">
        <f>-('Table 4A'!G60-'Table 4A'!I60)-('Table 4A'!G61-'Table 4A'!I61)</f>
        <v>0</v>
      </c>
      <c r="J38" s="70"/>
      <c r="K38" s="70">
        <f>-('Table 4A'!I60-'Table 4A'!K60)-('Table 4A'!I61-'Table 4A'!K61)</f>
        <v>0</v>
      </c>
    </row>
    <row r="39" spans="1:11" ht="15.75" customHeight="1">
      <c r="A39" s="67" t="s">
        <v>165</v>
      </c>
      <c r="B39" s="26"/>
      <c r="C39" s="87">
        <f>SUM(C36:C38)</f>
        <v>-415000</v>
      </c>
      <c r="D39" s="88"/>
      <c r="E39" s="87">
        <f>SUM(E36:E38)</f>
        <v>-420000</v>
      </c>
      <c r="F39" s="88"/>
      <c r="G39" s="87">
        <f>SUM(G36:G38)</f>
        <v>-425000</v>
      </c>
      <c r="H39" s="88"/>
      <c r="I39" s="87">
        <f>SUM(I36:I38)</f>
        <v>-435000</v>
      </c>
      <c r="J39" s="88"/>
      <c r="K39" s="87">
        <f>SUM(K36:K38)</f>
        <v>-440000</v>
      </c>
    </row>
    <row r="40" spans="1:11" ht="15.75" customHeight="1">
      <c r="A40" s="67"/>
      <c r="B40" s="26"/>
      <c r="C40" s="31"/>
      <c r="D40" s="73"/>
      <c r="E40" s="31"/>
      <c r="F40" s="73"/>
      <c r="G40" s="31"/>
      <c r="H40" s="73"/>
      <c r="I40" s="31"/>
      <c r="J40" s="73"/>
      <c r="K40" s="31"/>
    </row>
    <row r="41" spans="1:11" ht="15.75" customHeight="1">
      <c r="A41" s="67" t="s">
        <v>166</v>
      </c>
      <c r="B41" s="26"/>
      <c r="C41" s="72"/>
      <c r="D41" s="73"/>
      <c r="E41" s="72"/>
      <c r="F41" s="73"/>
      <c r="G41" s="72"/>
      <c r="H41" s="73"/>
      <c r="I41" s="72"/>
      <c r="J41" s="73"/>
      <c r="K41" s="72"/>
    </row>
    <row r="42" spans="1:11" ht="15.75" customHeight="1">
      <c r="A42" s="66" t="s">
        <v>167</v>
      </c>
      <c r="C42" s="176"/>
      <c r="D42" s="73"/>
      <c r="E42" s="31"/>
      <c r="F42" s="73"/>
      <c r="G42" s="31"/>
      <c r="H42" s="73"/>
      <c r="I42" s="31"/>
      <c r="J42" s="73"/>
      <c r="K42" s="31"/>
    </row>
    <row r="43" spans="1:11" ht="15.75" customHeight="1">
      <c r="A43" s="66" t="s">
        <v>21</v>
      </c>
      <c r="C43" s="176"/>
      <c r="D43" s="73"/>
      <c r="E43" s="31"/>
      <c r="F43" s="73"/>
      <c r="G43" s="31"/>
      <c r="H43" s="73"/>
      <c r="I43" s="31"/>
      <c r="J43" s="73"/>
      <c r="K43" s="31"/>
    </row>
    <row r="44" spans="1:11" ht="15.75" customHeight="1">
      <c r="A44" s="66" t="s">
        <v>168</v>
      </c>
      <c r="C44" s="176"/>
      <c r="D44" s="73"/>
      <c r="E44" s="31">
        <f>-('Table 4A'!C68-'Table 4A'!E68)-'Table 5A'!E13</f>
        <v>0</v>
      </c>
      <c r="F44" s="73"/>
      <c r="G44" s="31">
        <f>-('Table 4A'!E68-'Table 4A'!G68)-'Table 5A'!G13</f>
        <v>0</v>
      </c>
      <c r="H44" s="73"/>
      <c r="I44" s="31">
        <f>-('Table 4A'!G68-'Table 4A'!I68)-'Table 5A'!I13</f>
        <v>0</v>
      </c>
      <c r="J44" s="73"/>
      <c r="K44" s="31">
        <f>-('Table 4A'!I68-'Table 4A'!K68)-'Table 5A'!K13</f>
        <v>0</v>
      </c>
    </row>
    <row r="45" spans="1:11" ht="15.75" customHeight="1">
      <c r="A45" s="66" t="s">
        <v>21</v>
      </c>
      <c r="C45" s="181"/>
      <c r="D45" s="75"/>
      <c r="E45" s="77"/>
      <c r="F45" s="75"/>
      <c r="G45" s="77"/>
      <c r="H45" s="75"/>
      <c r="I45" s="77"/>
      <c r="J45" s="75"/>
      <c r="K45" s="77"/>
    </row>
    <row r="46" spans="1:11" ht="15.75" customHeight="1" thickBot="1">
      <c r="A46" s="67" t="s">
        <v>169</v>
      </c>
      <c r="B46" s="26"/>
      <c r="C46" s="80">
        <f>SUM(C42:C45)</f>
        <v>0</v>
      </c>
      <c r="D46" s="80"/>
      <c r="E46" s="80">
        <f>SUM(E42:E45)</f>
        <v>0</v>
      </c>
      <c r="F46" s="80"/>
      <c r="G46" s="80">
        <f>SUM(G42:G45)</f>
        <v>0</v>
      </c>
      <c r="H46" s="80"/>
      <c r="I46" s="80">
        <f>SUM(I42:I45)</f>
        <v>0</v>
      </c>
      <c r="J46" s="80"/>
      <c r="K46" s="80">
        <f>SUM(K42:K45)</f>
        <v>0</v>
      </c>
    </row>
    <row r="47" spans="1:11" ht="15.75" customHeight="1">
      <c r="A47" s="1"/>
      <c r="B47" s="26"/>
      <c r="C47" s="89"/>
      <c r="D47" s="89"/>
      <c r="E47" s="89"/>
      <c r="F47" s="90"/>
      <c r="G47" s="89"/>
      <c r="H47" s="90"/>
      <c r="I47" s="89"/>
      <c r="J47" s="90"/>
      <c r="K47" s="89"/>
    </row>
    <row r="48" spans="1:11" ht="15.75" customHeight="1" thickBot="1">
      <c r="A48" s="1" t="s">
        <v>170</v>
      </c>
      <c r="B48" s="26"/>
      <c r="C48" s="85">
        <f>C17+C32+C39+C46</f>
        <v>-0.11999999918043613</v>
      </c>
      <c r="D48" s="85"/>
      <c r="E48" s="85">
        <f>E17+E32+E39+E46</f>
        <v>222386</v>
      </c>
      <c r="F48" s="85"/>
      <c r="G48" s="85">
        <f>G17+G32+G39+G46</f>
        <v>215157.20999999344</v>
      </c>
      <c r="H48" s="85"/>
      <c r="I48" s="85">
        <f>I17+I32+I39+I46</f>
        <v>192744.3122999966</v>
      </c>
      <c r="J48" s="85"/>
      <c r="K48" s="85">
        <f>K17+K32+K39+K46</f>
        <v>180143.0200649947</v>
      </c>
    </row>
    <row r="49" spans="1:11" ht="12.75">
      <c r="A49" s="1"/>
      <c r="B49" s="26"/>
      <c r="C49" s="89"/>
      <c r="D49" s="89"/>
      <c r="E49" s="89"/>
      <c r="F49" s="90"/>
      <c r="G49" s="89"/>
      <c r="H49" s="90"/>
      <c r="I49" s="89"/>
      <c r="J49" s="90"/>
      <c r="K49" s="89"/>
    </row>
    <row r="50" spans="1:11" ht="13.5" thickBot="1">
      <c r="A50" s="1" t="s">
        <v>171</v>
      </c>
      <c r="C50" s="91">
        <f>C11+C48</f>
        <v>11757909.88</v>
      </c>
      <c r="D50" s="91"/>
      <c r="E50" s="91">
        <f>E11+E48</f>
        <v>11980295.88</v>
      </c>
      <c r="F50" s="91"/>
      <c r="G50" s="91">
        <f>G11+G48</f>
        <v>12195453.089999994</v>
      </c>
      <c r="H50" s="91"/>
      <c r="I50" s="91">
        <f>I11+I48</f>
        <v>12388197.40229999</v>
      </c>
      <c r="J50" s="91"/>
      <c r="K50" s="91">
        <f>K11+K48</f>
        <v>12568340.422364986</v>
      </c>
    </row>
    <row r="51" spans="3:11" ht="13.5" thickTop="1">
      <c r="C51" s="71"/>
      <c r="D51" s="71"/>
      <c r="E51" s="71"/>
      <c r="F51" s="71"/>
      <c r="G51" s="71"/>
      <c r="H51" s="11"/>
      <c r="I51" s="71"/>
      <c r="J51" s="71"/>
      <c r="K51" s="71"/>
    </row>
    <row r="52" spans="1:11" ht="12.75">
      <c r="A52" s="1" t="s">
        <v>172</v>
      </c>
      <c r="C52" s="89">
        <f>C50-'Table 4A'!C11</f>
        <v>-0.11999999918043613</v>
      </c>
      <c r="D52" s="92"/>
      <c r="E52" s="92">
        <f>E50-'Table 4A'!E11</f>
        <v>-0.11999999918043613</v>
      </c>
      <c r="F52" s="92"/>
      <c r="G52" s="92">
        <f>G50-'Table 4A'!G11</f>
        <v>0.08999999426305294</v>
      </c>
      <c r="H52" s="92"/>
      <c r="I52" s="92">
        <f>I50-'Table 4A'!I11</f>
        <v>-0.5977000091224909</v>
      </c>
      <c r="J52" s="92"/>
      <c r="K52" s="92">
        <f>K50-'Table 4A'!K11</f>
        <v>-0.5776350144296885</v>
      </c>
    </row>
  </sheetData>
  <sheetProtection/>
  <mergeCells count="5">
    <mergeCell ref="A5:K5"/>
    <mergeCell ref="A1:K1"/>
    <mergeCell ref="A2:K2"/>
    <mergeCell ref="A3:K3"/>
    <mergeCell ref="A4:K4"/>
  </mergeCells>
  <printOptions horizontalCentered="1"/>
  <pageMargins left="0.25" right="0.25" top="0.75" bottom="0.75" header="0.5" footer="0.5"/>
  <pageSetup fitToHeight="1" fitToWidth="1" horizontalDpi="600" verticalDpi="600" orientation="portrait" scale="84" r:id="rId1"/>
  <headerFooter alignWithMargins="0">
    <oddHeader>&amp;L&amp;"Arial,Italic"&amp;12NOTE: When completing this table make entries in the shaded fields only.</oddHeader>
    <oddFooter>&amp;L&amp;D
Health Care Administration&amp;R&amp;F,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="85" zoomScaleNormal="85" zoomScalePageLayoutView="0" workbookViewId="0" topLeftCell="A1">
      <pane ySplit="9" topLeftCell="A17" activePane="bottomLeft" state="frozen"/>
      <selection pane="topLeft" activeCell="A1" sqref="A1"/>
      <selection pane="bottomLeft" activeCell="A10" sqref="A10:IV10"/>
    </sheetView>
  </sheetViews>
  <sheetFormatPr defaultColWidth="9.140625" defaultRowHeight="12.75"/>
  <cols>
    <col min="1" max="1" width="37.7109375" style="0" customWidth="1"/>
    <col min="2" max="2" width="3.8515625" style="0" customWidth="1"/>
    <col min="3" max="3" width="14.8515625" style="0" customWidth="1"/>
    <col min="4" max="4" width="1.8515625" style="0" customWidth="1"/>
    <col min="5" max="5" width="14.8515625" style="0" customWidth="1"/>
    <col min="6" max="6" width="1.8515625" style="0" customWidth="1"/>
    <col min="7" max="7" width="14.8515625" style="0" customWidth="1"/>
    <col min="8" max="8" width="1.8515625" style="0" customWidth="1"/>
    <col min="9" max="9" width="14.8515625" style="0" customWidth="1"/>
    <col min="10" max="10" width="1.8515625" style="0" customWidth="1"/>
    <col min="11" max="11" width="14.8515625" style="0" customWidth="1"/>
  </cols>
  <sheetData>
    <row r="1" spans="1:11" ht="15.75">
      <c r="A1" s="190" t="str">
        <f>'Table 1'!A1</f>
        <v>50 Granview Dr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5.75">
      <c r="A2" s="190" t="str">
        <f>'Table 1'!A2</f>
        <v>WCMHS Infrastructure Improvement Project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ht="14.25">
      <c r="A3" s="193" t="s">
        <v>177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</row>
    <row r="4" spans="1:11" ht="14.25">
      <c r="A4" s="193" t="s">
        <v>141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</row>
    <row r="5" spans="1:11" ht="14.25">
      <c r="A5" s="193" t="s">
        <v>74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</row>
    <row r="6" ht="15.75" customHeight="1"/>
    <row r="7" spans="3:11" ht="15.75" customHeight="1">
      <c r="C7" s="1"/>
      <c r="D7" s="1"/>
      <c r="E7" s="13"/>
      <c r="F7" s="1"/>
      <c r="G7" s="13" t="s">
        <v>0</v>
      </c>
      <c r="H7" s="26"/>
      <c r="I7" s="13" t="s">
        <v>0</v>
      </c>
      <c r="J7" s="26"/>
      <c r="K7" s="13" t="s">
        <v>0</v>
      </c>
    </row>
    <row r="8" spans="3:11" ht="15.75" customHeight="1">
      <c r="C8" s="13" t="s">
        <v>70</v>
      </c>
      <c r="D8" s="29"/>
      <c r="E8" s="13" t="s">
        <v>179</v>
      </c>
      <c r="F8" s="29"/>
      <c r="G8" s="13" t="s">
        <v>1</v>
      </c>
      <c r="H8" s="29"/>
      <c r="I8" s="13" t="s">
        <v>2</v>
      </c>
      <c r="J8" s="29"/>
      <c r="K8" s="13" t="s">
        <v>3</v>
      </c>
    </row>
    <row r="9" spans="3:11" ht="15.75" customHeight="1">
      <c r="C9" s="197">
        <f>'Table 5A'!C9</f>
        <v>2023</v>
      </c>
      <c r="D9" s="198"/>
      <c r="E9" s="197">
        <f>C9+1</f>
        <v>2024</v>
      </c>
      <c r="F9" s="198"/>
      <c r="G9" s="197">
        <f>E9+1</f>
        <v>2025</v>
      </c>
      <c r="H9" s="198"/>
      <c r="I9" s="197">
        <f>G9+1</f>
        <v>2026</v>
      </c>
      <c r="J9" s="198"/>
      <c r="K9" s="197">
        <f>I9+1</f>
        <v>2027</v>
      </c>
    </row>
    <row r="10" spans="3:11" ht="15.75" customHeight="1">
      <c r="C10" s="23"/>
      <c r="D10" s="24"/>
      <c r="E10" s="18"/>
      <c r="F10" s="24"/>
      <c r="G10" s="18"/>
      <c r="H10" s="24"/>
      <c r="I10" s="18"/>
      <c r="J10" s="24"/>
      <c r="K10" s="18"/>
    </row>
    <row r="11" spans="1:11" ht="15.75" customHeight="1" thickBot="1">
      <c r="A11" s="1" t="s">
        <v>142</v>
      </c>
      <c r="B11" s="26"/>
      <c r="C11" s="147"/>
      <c r="D11" s="78"/>
      <c r="E11" s="79">
        <f>+C50</f>
        <v>0</v>
      </c>
      <c r="F11" s="78"/>
      <c r="G11" s="79">
        <f>+E50</f>
        <v>0.5</v>
      </c>
      <c r="H11" s="78"/>
      <c r="I11" s="79">
        <f>+G50</f>
        <v>-0.2666666666045785</v>
      </c>
      <c r="J11" s="78"/>
      <c r="K11" s="79">
        <f>+I50</f>
        <v>0.46666666673263535</v>
      </c>
    </row>
    <row r="12" spans="1:11" ht="15.75" customHeight="1">
      <c r="A12" s="67" t="s">
        <v>143</v>
      </c>
      <c r="B12" s="26"/>
      <c r="C12" s="94"/>
      <c r="D12" s="73"/>
      <c r="E12" s="72"/>
      <c r="F12" s="73"/>
      <c r="G12" s="72"/>
      <c r="H12" s="73"/>
      <c r="I12" s="72"/>
      <c r="J12" s="73"/>
      <c r="K12" s="72"/>
    </row>
    <row r="13" spans="1:11" ht="15.75" customHeight="1">
      <c r="A13" s="66" t="s">
        <v>144</v>
      </c>
      <c r="C13" s="139"/>
      <c r="D13" s="73"/>
      <c r="E13" s="31">
        <f>'Table 3B'!E44</f>
        <v>889220.5</v>
      </c>
      <c r="F13" s="73"/>
      <c r="G13" s="31">
        <f>'Table 3B'!G44</f>
        <v>770657.7666666666</v>
      </c>
      <c r="H13" s="73"/>
      <c r="I13" s="31">
        <f>'Table 3B'!I44</f>
        <v>-118562.73333333334</v>
      </c>
      <c r="J13" s="73"/>
      <c r="K13" s="31">
        <f>'Table 3B'!K44</f>
        <v>-118562.73333333334</v>
      </c>
    </row>
    <row r="14" spans="1:11" ht="15.75" customHeight="1">
      <c r="A14" s="66" t="s">
        <v>145</v>
      </c>
      <c r="C14" s="139"/>
      <c r="D14" s="73"/>
      <c r="E14" s="31">
        <f>'Table 3B'!E34</f>
        <v>0</v>
      </c>
      <c r="F14" s="73"/>
      <c r="G14" s="31">
        <f>'Table 3B'!G34</f>
        <v>0</v>
      </c>
      <c r="H14" s="73"/>
      <c r="I14" s="31">
        <f>'Table 3B'!I34</f>
        <v>0</v>
      </c>
      <c r="J14" s="73"/>
      <c r="K14" s="31">
        <f>'Table 3B'!K34</f>
        <v>0</v>
      </c>
    </row>
    <row r="15" spans="1:11" ht="15.75" customHeight="1">
      <c r="A15" s="66" t="s">
        <v>146</v>
      </c>
      <c r="C15" s="139"/>
      <c r="D15" s="73"/>
      <c r="E15" s="65">
        <f>('Table 4B'!C12-'Table 4B'!E12)+('Table 4B'!C13-'Table 4B'!E13)</f>
        <v>0</v>
      </c>
      <c r="F15" s="74"/>
      <c r="G15" s="65">
        <f>('Table 4B'!E12-'Table 4B'!G12)+('Table 4B'!E13-'Table 4B'!G13)</f>
        <v>0</v>
      </c>
      <c r="H15" s="74"/>
      <c r="I15" s="65">
        <f>('Table 4B'!G12-'Table 4B'!I12)+('Table 4B'!G13-'Table 4B'!I13)</f>
        <v>0</v>
      </c>
      <c r="J15" s="74"/>
      <c r="K15" s="65">
        <f>('Table 4B'!I12-'Table 4B'!K12)+('Table 4B'!I13-'Table 4B'!K13)</f>
        <v>0</v>
      </c>
    </row>
    <row r="16" spans="1:11" ht="15.75" customHeight="1">
      <c r="A16" s="66" t="s">
        <v>147</v>
      </c>
      <c r="C16" s="141"/>
      <c r="D16" s="75"/>
      <c r="E16" s="69">
        <f>('Table 4B'!C14-'Table 4B'!E14)+('Table 4B'!C15-'Table 4B'!E15)-('Table 4B'!C56-'Table 4B'!E56)</f>
        <v>0</v>
      </c>
      <c r="F16" s="76"/>
      <c r="G16" s="69">
        <f>('Table 4B'!E14-'Table 4B'!G14)+('Table 4B'!E15-'Table 4B'!G15)-('Table 4B'!E56-'Table 4B'!G56)</f>
        <v>0</v>
      </c>
      <c r="H16" s="76"/>
      <c r="I16" s="69">
        <f>('Table 4B'!G14-'Table 4B'!I14)+('Table 4B'!G15-'Table 4B'!I15)-('Table 4B'!G56-'Table 4B'!I56)</f>
        <v>0</v>
      </c>
      <c r="J16" s="76"/>
      <c r="K16" s="69">
        <f>('Table 4B'!I14-'Table 4B'!K14)+('Table 4B'!I15-'Table 4B'!K15)-('Table 4B'!I56-'Table 4B'!K56)</f>
        <v>0</v>
      </c>
    </row>
    <row r="17" spans="1:11" ht="15.75" customHeight="1" thickBot="1">
      <c r="A17" s="67" t="s">
        <v>148</v>
      </c>
      <c r="B17" s="26"/>
      <c r="C17" s="147"/>
      <c r="D17" s="81"/>
      <c r="E17" s="80">
        <f>SUM(E13:E16)</f>
        <v>889220.5</v>
      </c>
      <c r="F17" s="81"/>
      <c r="G17" s="80">
        <f>SUM(G13:G16)</f>
        <v>770657.7666666666</v>
      </c>
      <c r="H17" s="81"/>
      <c r="I17" s="80">
        <f>SUM(I13:I16)</f>
        <v>-118562.73333333334</v>
      </c>
      <c r="J17" s="81"/>
      <c r="K17" s="80">
        <f>SUM(K13:K16)</f>
        <v>-118562.73333333334</v>
      </c>
    </row>
    <row r="18" spans="1:11" ht="15.75" customHeight="1">
      <c r="A18" s="1"/>
      <c r="B18" s="26"/>
      <c r="C18" s="94"/>
      <c r="D18" s="73"/>
      <c r="E18" s="72"/>
      <c r="F18" s="73"/>
      <c r="G18" s="72"/>
      <c r="H18" s="73"/>
      <c r="I18" s="72"/>
      <c r="J18" s="73"/>
      <c r="K18" s="72"/>
    </row>
    <row r="19" spans="1:11" ht="15.75" customHeight="1">
      <c r="A19" s="67" t="s">
        <v>149</v>
      </c>
      <c r="B19" s="26"/>
      <c r="C19" s="65"/>
      <c r="D19" s="31"/>
      <c r="E19" s="31"/>
      <c r="F19" s="31"/>
      <c r="G19" s="31"/>
      <c r="H19" s="31"/>
      <c r="I19" s="31"/>
      <c r="J19" s="31"/>
      <c r="K19" s="31"/>
    </row>
    <row r="20" spans="1:11" ht="15.75" customHeight="1">
      <c r="A20" s="66" t="s">
        <v>150</v>
      </c>
      <c r="B20" s="26"/>
      <c r="C20" s="95"/>
      <c r="D20" s="71"/>
      <c r="E20" s="71"/>
      <c r="F20" s="71"/>
      <c r="G20" s="71"/>
      <c r="H20" s="71"/>
      <c r="I20" s="71"/>
      <c r="J20" s="71"/>
      <c r="K20" s="71"/>
    </row>
    <row r="21" spans="1:11" ht="15.75" customHeight="1">
      <c r="A21" s="68" t="s">
        <v>151</v>
      </c>
      <c r="C21" s="139"/>
      <c r="D21" s="73"/>
      <c r="E21" s="31"/>
      <c r="F21" s="73"/>
      <c r="G21" s="31"/>
      <c r="H21" s="73"/>
      <c r="I21" s="31"/>
      <c r="J21" s="73"/>
      <c r="K21" s="31"/>
    </row>
    <row r="22" spans="1:11" ht="15.75" customHeight="1">
      <c r="A22" s="68" t="s">
        <v>152</v>
      </c>
      <c r="C22" s="139"/>
      <c r="D22" s="73"/>
      <c r="E22" s="31"/>
      <c r="F22" s="73"/>
      <c r="G22" s="31"/>
      <c r="H22" s="73"/>
      <c r="I22" s="31"/>
      <c r="J22" s="73"/>
      <c r="K22" s="31"/>
    </row>
    <row r="23" spans="1:11" ht="15.75" customHeight="1">
      <c r="A23" s="68" t="s">
        <v>153</v>
      </c>
      <c r="C23" s="139"/>
      <c r="D23" s="73"/>
      <c r="E23" s="72">
        <f>('Table 4B'!C37-'Table 4B'!E37)-'Table 5B'!E14</f>
        <v>0</v>
      </c>
      <c r="F23" s="73"/>
      <c r="G23" s="72">
        <f>('Table 4B'!E37-'Table 4B'!G37)-'Table 5B'!G14</f>
        <v>118562.73333333334</v>
      </c>
      <c r="H23" s="73"/>
      <c r="I23" s="72">
        <f>('Table 4B'!G37-'Table 4B'!I37)-'Table 5B'!I14</f>
        <v>118562.73333333334</v>
      </c>
      <c r="J23" s="73"/>
      <c r="K23" s="72">
        <f>('Table 4B'!I37-'Table 4B'!K37)-'Table 5B'!K14</f>
        <v>118562.73333333334</v>
      </c>
    </row>
    <row r="24" spans="1:11" ht="15.75" customHeight="1">
      <c r="A24" s="68" t="s">
        <v>154</v>
      </c>
      <c r="C24" s="141"/>
      <c r="D24" s="75"/>
      <c r="E24" s="77">
        <f>'Table 4B'!C31-'Table 4B'!E31</f>
        <v>-889220.5</v>
      </c>
      <c r="F24" s="75"/>
      <c r="G24" s="77">
        <f>'Table 4B'!E31-'Table 4B'!G31</f>
        <v>-889220.5</v>
      </c>
      <c r="H24" s="75"/>
      <c r="I24" s="77">
        <f>'Table 4B'!G31-'Table 4B'!I31</f>
        <v>0</v>
      </c>
      <c r="J24" s="75"/>
      <c r="K24" s="77">
        <f>'Table 4B'!I31-'Table 4B'!K31</f>
        <v>0</v>
      </c>
    </row>
    <row r="25" spans="1:11" ht="15.75" customHeight="1">
      <c r="A25" s="68" t="s">
        <v>155</v>
      </c>
      <c r="C25" s="141"/>
      <c r="D25" s="83"/>
      <c r="E25" s="82">
        <f>SUM(E21:E24)</f>
        <v>-889220.5</v>
      </c>
      <c r="F25" s="83"/>
      <c r="G25" s="82">
        <f>SUM(G21:G24)</f>
        <v>-770657.7666666666</v>
      </c>
      <c r="H25" s="83"/>
      <c r="I25" s="82">
        <f>SUM(I21:I24)</f>
        <v>118562.73333333334</v>
      </c>
      <c r="J25" s="83"/>
      <c r="K25" s="82">
        <f>SUM(K21:K24)</f>
        <v>118562.73333333334</v>
      </c>
    </row>
    <row r="26" spans="1:11" ht="15.75" customHeight="1">
      <c r="A26" s="67"/>
      <c r="B26" s="26"/>
      <c r="C26" s="65"/>
      <c r="D26" s="73"/>
      <c r="E26" s="31"/>
      <c r="F26" s="73"/>
      <c r="G26" s="31"/>
      <c r="H26" s="73"/>
      <c r="I26" s="31"/>
      <c r="J26" s="73"/>
      <c r="K26" s="31"/>
    </row>
    <row r="27" spans="1:11" ht="15.75" customHeight="1">
      <c r="A27" s="66" t="s">
        <v>156</v>
      </c>
      <c r="B27" s="26"/>
      <c r="C27" s="94"/>
      <c r="D27" s="73"/>
      <c r="E27" s="72"/>
      <c r="F27" s="73"/>
      <c r="G27" s="72"/>
      <c r="H27" s="73"/>
      <c r="I27" s="72"/>
      <c r="J27" s="73"/>
      <c r="K27" s="72"/>
    </row>
    <row r="28" spans="1:11" ht="15.75" customHeight="1">
      <c r="A28" s="68" t="s">
        <v>41</v>
      </c>
      <c r="C28" s="139"/>
      <c r="D28" s="73"/>
      <c r="E28" s="72">
        <f>'Table 4B'!C20-'Table 4B'!E20</f>
        <v>0</v>
      </c>
      <c r="F28" s="73"/>
      <c r="G28" s="72">
        <f>'Table 4B'!E20-'Table 4B'!G20</f>
        <v>0</v>
      </c>
      <c r="H28" s="73"/>
      <c r="I28" s="72">
        <f>'Table 4B'!G20-'Table 4B'!I20</f>
        <v>0</v>
      </c>
      <c r="J28" s="73"/>
      <c r="K28" s="72">
        <f>'Table 4B'!I20-'Table 4B'!K20</f>
        <v>0</v>
      </c>
    </row>
    <row r="29" spans="1:12" ht="15.75" customHeight="1">
      <c r="A29" s="68" t="s">
        <v>157</v>
      </c>
      <c r="C29" s="141"/>
      <c r="D29" s="12"/>
      <c r="E29" s="12">
        <f>('Table 4B'!C21-'Table 4B'!E21)+('Table 4B'!C22-'Table 4B'!E22)+('Table 4B'!C41-'Table 4B'!E41)-('Table 4B'!C64-'Table 4B'!E64)</f>
        <v>0</v>
      </c>
      <c r="F29" s="12"/>
      <c r="G29" s="12">
        <f>('Table 4B'!E21-'Table 4B'!G21)+('Table 4B'!E22-'Table 4B'!G22)+('Table 4B'!E41-'Table 4B'!G41)-('Table 4B'!E64-'Table 4B'!G64)</f>
        <v>0</v>
      </c>
      <c r="H29" s="12"/>
      <c r="I29" s="12">
        <f>('Table 4B'!G21-'Table 4B'!I21)+('Table 4B'!G22-'Table 4B'!I22)+('Table 4B'!G41-'Table 4B'!I41)-('Table 4B'!G64-'Table 4B'!I64)</f>
        <v>0</v>
      </c>
      <c r="J29" s="12"/>
      <c r="K29" s="12">
        <f>('Table 4B'!I21-'Table 4B'!K21)+('Table 4B'!I22-'Table 4B'!K22)+('Table 4B'!I41-'Table 4B'!K41)-('Table 4B'!I64-'Table 4B'!K64)</f>
        <v>0</v>
      </c>
      <c r="L29" s="26"/>
    </row>
    <row r="30" spans="1:11" ht="15.75" customHeight="1">
      <c r="A30" s="68" t="s">
        <v>158</v>
      </c>
      <c r="C30" s="149"/>
      <c r="D30" s="84"/>
      <c r="E30" s="82">
        <f>SUM(E28:E29)</f>
        <v>0</v>
      </c>
      <c r="F30" s="84"/>
      <c r="G30" s="82">
        <f>SUM(G28:G29)</f>
        <v>0</v>
      </c>
      <c r="H30" s="84"/>
      <c r="I30" s="82">
        <f>SUM(I28:I29)</f>
        <v>0</v>
      </c>
      <c r="J30" s="84"/>
      <c r="K30" s="82">
        <f>SUM(K28:K29)</f>
        <v>0</v>
      </c>
    </row>
    <row r="31" spans="1:11" ht="15.75" customHeight="1">
      <c r="A31" s="1"/>
      <c r="B31" s="26"/>
      <c r="C31" s="94"/>
      <c r="D31" s="73"/>
      <c r="E31" s="72"/>
      <c r="F31" s="73"/>
      <c r="G31" s="72"/>
      <c r="H31" s="73"/>
      <c r="I31" s="72"/>
      <c r="J31" s="73"/>
      <c r="K31" s="72"/>
    </row>
    <row r="32" spans="1:11" ht="15.75" customHeight="1" thickBot="1">
      <c r="A32" s="67" t="s">
        <v>159</v>
      </c>
      <c r="B32" s="26"/>
      <c r="C32" s="148"/>
      <c r="D32" s="86"/>
      <c r="E32" s="85">
        <f>E25+E30</f>
        <v>-889220.5</v>
      </c>
      <c r="F32" s="86"/>
      <c r="G32" s="85">
        <f>G25+G30</f>
        <v>-770657.7666666666</v>
      </c>
      <c r="H32" s="86"/>
      <c r="I32" s="85">
        <f>I25+I30</f>
        <v>118562.73333333334</v>
      </c>
      <c r="J32" s="86"/>
      <c r="K32" s="85">
        <f>K25+K30</f>
        <v>118562.73333333334</v>
      </c>
    </row>
    <row r="33" spans="1:11" ht="15.75" customHeight="1">
      <c r="A33" s="67"/>
      <c r="B33" s="26"/>
      <c r="C33" s="65"/>
      <c r="D33" s="73"/>
      <c r="E33" s="31"/>
      <c r="F33" s="73"/>
      <c r="G33" s="31"/>
      <c r="H33" s="73"/>
      <c r="I33" s="31"/>
      <c r="J33" s="73"/>
      <c r="K33" s="31"/>
    </row>
    <row r="34" spans="1:11" ht="15.75" customHeight="1">
      <c r="A34" s="67" t="s">
        <v>160</v>
      </c>
      <c r="B34" s="26"/>
      <c r="C34" s="65"/>
      <c r="D34" s="73"/>
      <c r="E34" s="31"/>
      <c r="F34" s="73"/>
      <c r="G34" s="31"/>
      <c r="H34" s="73"/>
      <c r="I34" s="31"/>
      <c r="J34" s="73"/>
      <c r="K34" s="31"/>
    </row>
    <row r="35" spans="1:11" ht="15.75" customHeight="1">
      <c r="A35" s="66" t="s">
        <v>161</v>
      </c>
      <c r="B35" s="26"/>
      <c r="C35" s="65"/>
      <c r="D35" s="73"/>
      <c r="E35" s="31"/>
      <c r="F35" s="73"/>
      <c r="G35" s="31"/>
      <c r="H35" s="73"/>
      <c r="I35" s="31"/>
      <c r="J35" s="73"/>
      <c r="K35" s="31"/>
    </row>
    <row r="36" spans="1:11" ht="15.75" customHeight="1">
      <c r="A36" s="68" t="s">
        <v>162</v>
      </c>
      <c r="C36" s="139"/>
      <c r="D36" s="73"/>
      <c r="E36" s="31">
        <f>-('Table 4B'!C59-'Table 4B'!E59)</f>
        <v>0</v>
      </c>
      <c r="F36" s="73"/>
      <c r="G36" s="31">
        <f>-('Table 4B'!E59-'Table 4B'!G59)</f>
        <v>0</v>
      </c>
      <c r="H36" s="73"/>
      <c r="I36" s="31">
        <f>-('Table 4B'!G59-'Table 4B'!I59)</f>
        <v>0</v>
      </c>
      <c r="J36" s="73"/>
      <c r="K36" s="31">
        <f>-('Table 4B'!I59-'Table 4B'!K59)</f>
        <v>0</v>
      </c>
    </row>
    <row r="37" spans="1:11" ht="15.75" customHeight="1">
      <c r="A37" s="68" t="s">
        <v>163</v>
      </c>
      <c r="C37" s="139"/>
      <c r="D37" s="73"/>
      <c r="E37" s="31"/>
      <c r="F37" s="73"/>
      <c r="G37" s="31"/>
      <c r="H37" s="73"/>
      <c r="I37" s="31"/>
      <c r="J37" s="73"/>
      <c r="K37" s="31"/>
    </row>
    <row r="38" spans="1:11" ht="15.75" customHeight="1" thickBot="1">
      <c r="A38" s="68" t="s">
        <v>164</v>
      </c>
      <c r="C38" s="150"/>
      <c r="D38" s="70"/>
      <c r="E38" s="70">
        <f>-('Table 4B'!C60-'Table 4B'!E60)-('Table 4B'!C61-'Table 4B'!E61)</f>
        <v>0</v>
      </c>
      <c r="F38" s="70"/>
      <c r="G38" s="70">
        <f>-('Table 4B'!E60-'Table 4B'!G60)-('Table 4B'!E61-'Table 4B'!G61)</f>
        <v>0</v>
      </c>
      <c r="H38" s="70"/>
      <c r="I38" s="70">
        <f>-('Table 4B'!G60-'Table 4B'!I60)-('Table 4B'!G61-'Table 4B'!I61)</f>
        <v>0</v>
      </c>
      <c r="J38" s="70"/>
      <c r="K38" s="70">
        <f>-('Table 4B'!I60-'Table 4B'!K60)-('Table 4B'!I61-'Table 4B'!K61)</f>
        <v>0</v>
      </c>
    </row>
    <row r="39" spans="1:11" ht="15.75" customHeight="1">
      <c r="A39" s="67" t="s">
        <v>165</v>
      </c>
      <c r="B39" s="26"/>
      <c r="C39" s="151"/>
      <c r="D39" s="88"/>
      <c r="E39" s="87">
        <f>SUM(E36:E38)</f>
        <v>0</v>
      </c>
      <c r="F39" s="88"/>
      <c r="G39" s="87">
        <f>SUM(G36:G38)</f>
        <v>0</v>
      </c>
      <c r="H39" s="88"/>
      <c r="I39" s="87">
        <f>SUM(I36:I38)</f>
        <v>0</v>
      </c>
      <c r="J39" s="88"/>
      <c r="K39" s="87">
        <f>SUM(K36:K38)</f>
        <v>0</v>
      </c>
    </row>
    <row r="40" spans="1:11" ht="15.75" customHeight="1">
      <c r="A40" s="67"/>
      <c r="B40" s="26"/>
      <c r="C40" s="152"/>
      <c r="D40" s="73"/>
      <c r="E40" s="31"/>
      <c r="F40" s="73"/>
      <c r="G40" s="31"/>
      <c r="H40" s="73"/>
      <c r="I40" s="31"/>
      <c r="J40" s="73"/>
      <c r="K40" s="31"/>
    </row>
    <row r="41" spans="1:11" ht="15.75" customHeight="1">
      <c r="A41" s="67" t="s">
        <v>166</v>
      </c>
      <c r="B41" s="26"/>
      <c r="C41" s="153"/>
      <c r="D41" s="73"/>
      <c r="E41" s="72"/>
      <c r="F41" s="73"/>
      <c r="G41" s="72"/>
      <c r="H41" s="73"/>
      <c r="I41" s="72"/>
      <c r="J41" s="73"/>
      <c r="K41" s="72"/>
    </row>
    <row r="42" spans="1:11" ht="15.75" customHeight="1">
      <c r="A42" s="66" t="s">
        <v>167</v>
      </c>
      <c r="C42" s="139"/>
      <c r="D42" s="73"/>
      <c r="E42" s="31"/>
      <c r="F42" s="73"/>
      <c r="G42" s="31"/>
      <c r="H42" s="73"/>
      <c r="I42" s="31"/>
      <c r="J42" s="73"/>
      <c r="K42" s="31"/>
    </row>
    <row r="43" spans="1:11" ht="15.75" customHeight="1">
      <c r="A43" s="66" t="s">
        <v>21</v>
      </c>
      <c r="C43" s="139"/>
      <c r="D43" s="73"/>
      <c r="E43" s="31"/>
      <c r="F43" s="73"/>
      <c r="G43" s="31"/>
      <c r="H43" s="73"/>
      <c r="I43" s="31"/>
      <c r="J43" s="73"/>
      <c r="K43" s="31"/>
    </row>
    <row r="44" spans="1:11" ht="15.75" customHeight="1">
      <c r="A44" s="66" t="s">
        <v>168</v>
      </c>
      <c r="C44" s="139"/>
      <c r="D44" s="73"/>
      <c r="E44" s="31">
        <f>-('Table 4B'!C68-'Table 4B'!E68)-'Table 5B'!E13</f>
        <v>0.5</v>
      </c>
      <c r="F44" s="73"/>
      <c r="G44" s="31">
        <f>-('Table 4B'!E68-'Table 4B'!G68)-'Table 5B'!G13</f>
        <v>-0.7666666666045785</v>
      </c>
      <c r="H44" s="73"/>
      <c r="I44" s="31">
        <f>-('Table 4B'!G68-'Table 4B'!I68)-'Table 5B'!I13</f>
        <v>0.7333333333372138</v>
      </c>
      <c r="J44" s="73"/>
      <c r="K44" s="31">
        <f>-('Table 4B'!I68-'Table 4B'!K68)-'Table 5B'!K13</f>
        <v>-0.26666666666278616</v>
      </c>
    </row>
    <row r="45" spans="1:11" ht="15.75" customHeight="1">
      <c r="A45" s="66" t="s">
        <v>21</v>
      </c>
      <c r="C45" s="141"/>
      <c r="D45" s="75"/>
      <c r="E45" s="77"/>
      <c r="F45" s="75"/>
      <c r="G45" s="77"/>
      <c r="H45" s="75"/>
      <c r="I45" s="77"/>
      <c r="J45" s="75"/>
      <c r="K45" s="77"/>
    </row>
    <row r="46" spans="1:11" ht="15.75" customHeight="1" thickBot="1">
      <c r="A46" s="67" t="s">
        <v>169</v>
      </c>
      <c r="B46" s="26"/>
      <c r="C46" s="154"/>
      <c r="D46" s="80"/>
      <c r="E46" s="80">
        <f>SUM(E42:E45)</f>
        <v>0.5</v>
      </c>
      <c r="F46" s="80"/>
      <c r="G46" s="80">
        <f>SUM(G42:G45)</f>
        <v>-0.7666666666045785</v>
      </c>
      <c r="H46" s="80"/>
      <c r="I46" s="80">
        <f>SUM(I42:I45)</f>
        <v>0.7333333333372138</v>
      </c>
      <c r="J46" s="80"/>
      <c r="K46" s="80">
        <f>SUM(K42:K45)</f>
        <v>-0.26666666666278616</v>
      </c>
    </row>
    <row r="47" spans="1:11" ht="15.75" customHeight="1">
      <c r="A47" s="1"/>
      <c r="B47" s="26"/>
      <c r="C47" s="155"/>
      <c r="D47" s="89"/>
      <c r="E47" s="89"/>
      <c r="F47" s="90"/>
      <c r="G47" s="89"/>
      <c r="H47" s="90"/>
      <c r="I47" s="89"/>
      <c r="J47" s="90"/>
      <c r="K47" s="89"/>
    </row>
    <row r="48" spans="1:11" ht="15.75" customHeight="1" thickBot="1">
      <c r="A48" s="1" t="s">
        <v>170</v>
      </c>
      <c r="B48" s="26"/>
      <c r="C48" s="156"/>
      <c r="D48" s="85"/>
      <c r="E48" s="85">
        <f>E17+E32+E39+E46</f>
        <v>0.5</v>
      </c>
      <c r="F48" s="85"/>
      <c r="G48" s="85">
        <f>G17+G32+G39+G46</f>
        <v>-0.7666666666045785</v>
      </c>
      <c r="H48" s="85"/>
      <c r="I48" s="85">
        <f>I17+I32+I39+I46</f>
        <v>0.7333333333372138</v>
      </c>
      <c r="J48" s="85"/>
      <c r="K48" s="85">
        <f>K17+K32+K39+K46</f>
        <v>-0.26666666666278616</v>
      </c>
    </row>
    <row r="49" spans="1:11" ht="12.75">
      <c r="A49" s="1"/>
      <c r="B49" s="26"/>
      <c r="C49" s="155"/>
      <c r="D49" s="89"/>
      <c r="E49" s="89"/>
      <c r="F49" s="90"/>
      <c r="G49" s="89"/>
      <c r="H49" s="90"/>
      <c r="I49" s="89"/>
      <c r="J49" s="90"/>
      <c r="K49" s="89"/>
    </row>
    <row r="50" spans="1:11" ht="13.5" thickBot="1">
      <c r="A50" s="1" t="s">
        <v>171</v>
      </c>
      <c r="C50" s="157"/>
      <c r="D50" s="91"/>
      <c r="E50" s="91">
        <f>E11+E48</f>
        <v>0.5</v>
      </c>
      <c r="F50" s="91"/>
      <c r="G50" s="91">
        <f>G11+G48</f>
        <v>-0.2666666666045785</v>
      </c>
      <c r="H50" s="91"/>
      <c r="I50" s="91">
        <f>I11+I48</f>
        <v>0.46666666673263535</v>
      </c>
      <c r="J50" s="91"/>
      <c r="K50" s="91">
        <f>K11+K48</f>
        <v>0.2000000000698492</v>
      </c>
    </row>
    <row r="51" spans="3:11" ht="13.5" thickTop="1">
      <c r="C51" s="95"/>
      <c r="D51" s="71"/>
      <c r="E51" s="71"/>
      <c r="F51" s="71"/>
      <c r="G51" s="71"/>
      <c r="H51" s="11"/>
      <c r="I51" s="71"/>
      <c r="J51" s="71"/>
      <c r="K51" s="71"/>
    </row>
    <row r="52" spans="1:11" ht="12.75">
      <c r="A52" s="1" t="s">
        <v>172</v>
      </c>
      <c r="C52" s="99"/>
      <c r="D52" s="92"/>
      <c r="E52" s="89">
        <f>E50-'Table 4B'!E11</f>
        <v>0.5</v>
      </c>
      <c r="F52" s="92"/>
      <c r="G52" s="89">
        <f>G50-'Table 4B'!G11</f>
        <v>-0.2666666666045785</v>
      </c>
      <c r="H52" s="92"/>
      <c r="I52" s="89">
        <f>I50-'Table 4B'!I11</f>
        <v>0.46666666673263535</v>
      </c>
      <c r="J52" s="92"/>
      <c r="K52" s="89">
        <f>K50-'Table 4B'!K11</f>
        <v>0.2000000000698492</v>
      </c>
    </row>
    <row r="53" ht="12.75">
      <c r="C53" s="100"/>
    </row>
  </sheetData>
  <sheetProtection/>
  <mergeCells count="5">
    <mergeCell ref="A5:K5"/>
    <mergeCell ref="A1:K1"/>
    <mergeCell ref="A2:K2"/>
    <mergeCell ref="A3:K3"/>
    <mergeCell ref="A4:K4"/>
  </mergeCells>
  <printOptions horizontalCentered="1"/>
  <pageMargins left="0.25" right="0.25" top="0.96" bottom="0.75" header="0.5" footer="0.5"/>
  <pageSetup fitToHeight="1" fitToWidth="1" horizontalDpi="600" verticalDpi="600" orientation="portrait" scale="84" r:id="rId1"/>
  <headerFooter alignWithMargins="0">
    <oddHeader>&amp;L&amp;"Arial,Italic"&amp;11NOTE: This table requires no 'fill-in' as it automatically populates from Tables 4B, 5A and 5B.</oddHeader>
    <oddFooter>&amp;L&amp;D
Health Care Administration&amp;R&amp;F, 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="85" zoomScaleNormal="85" zoomScalePageLayoutView="0" workbookViewId="0" topLeftCell="A1">
      <pane ySplit="9" topLeftCell="A10" activePane="bottomLeft" state="frozen"/>
      <selection pane="topLeft" activeCell="A1" sqref="A1"/>
      <selection pane="bottomLeft" activeCell="A10" sqref="A10:IV10"/>
    </sheetView>
  </sheetViews>
  <sheetFormatPr defaultColWidth="9.140625" defaultRowHeight="12.75"/>
  <cols>
    <col min="1" max="1" width="37.7109375" style="0" customWidth="1"/>
    <col min="2" max="2" width="3.8515625" style="0" customWidth="1"/>
    <col min="3" max="3" width="14.8515625" style="0" customWidth="1"/>
    <col min="4" max="4" width="1.8515625" style="0" customWidth="1"/>
    <col min="5" max="5" width="14.8515625" style="0" customWidth="1"/>
    <col min="6" max="6" width="1.8515625" style="0" customWidth="1"/>
    <col min="7" max="7" width="14.8515625" style="0" customWidth="1"/>
    <col min="8" max="8" width="1.8515625" style="0" customWidth="1"/>
    <col min="9" max="9" width="14.8515625" style="0" customWidth="1"/>
    <col min="10" max="10" width="1.8515625" style="0" customWidth="1"/>
    <col min="11" max="11" width="14.8515625" style="0" customWidth="1"/>
  </cols>
  <sheetData>
    <row r="1" spans="1:11" ht="15.75">
      <c r="A1" s="190" t="str">
        <f>'Table 1'!A1</f>
        <v>50 Granview Dr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5.75">
      <c r="A2" s="190" t="str">
        <f>'Table 1'!A2</f>
        <v>WCMHS Infrastructure Improvement Project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ht="14.25">
      <c r="A3" s="193" t="s">
        <v>178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</row>
    <row r="4" spans="1:11" ht="14.25">
      <c r="A4" s="193" t="s">
        <v>141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</row>
    <row r="5" spans="1:11" ht="14.25">
      <c r="A5" s="193" t="s">
        <v>75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</row>
    <row r="6" ht="15.75" customHeight="1"/>
    <row r="7" spans="3:11" ht="15.75" customHeight="1">
      <c r="C7" s="1"/>
      <c r="D7" s="1"/>
      <c r="E7" s="13"/>
      <c r="F7" s="1"/>
      <c r="G7" s="13" t="s">
        <v>0</v>
      </c>
      <c r="H7" s="26"/>
      <c r="I7" s="13" t="s">
        <v>0</v>
      </c>
      <c r="J7" s="26"/>
      <c r="K7" s="13" t="s">
        <v>0</v>
      </c>
    </row>
    <row r="8" spans="3:11" ht="15.75" customHeight="1">
      <c r="C8" s="13" t="s">
        <v>70</v>
      </c>
      <c r="D8" s="29"/>
      <c r="E8" s="13" t="s">
        <v>179</v>
      </c>
      <c r="F8" s="29"/>
      <c r="G8" s="13" t="s">
        <v>1</v>
      </c>
      <c r="H8" s="29"/>
      <c r="I8" s="13" t="s">
        <v>2</v>
      </c>
      <c r="J8" s="29"/>
      <c r="K8" s="13" t="s">
        <v>3</v>
      </c>
    </row>
    <row r="9" spans="3:11" ht="15.75" customHeight="1">
      <c r="C9" s="93">
        <f>'Table 5A'!C9</f>
        <v>2023</v>
      </c>
      <c r="D9" s="131"/>
      <c r="E9" s="93">
        <f>C9+1</f>
        <v>2024</v>
      </c>
      <c r="F9" s="131"/>
      <c r="G9" s="93">
        <f>E9+1</f>
        <v>2025</v>
      </c>
      <c r="H9" s="131"/>
      <c r="I9" s="93">
        <f>G9+1</f>
        <v>2026</v>
      </c>
      <c r="J9" s="131"/>
      <c r="K9" s="93">
        <f>I9+1</f>
        <v>2027</v>
      </c>
    </row>
    <row r="10" spans="3:11" ht="15.75" customHeight="1">
      <c r="C10" s="23"/>
      <c r="D10" s="24"/>
      <c r="E10" s="18"/>
      <c r="F10" s="24"/>
      <c r="G10" s="18"/>
      <c r="H10" s="24"/>
      <c r="I10" s="18"/>
      <c r="J10" s="24"/>
      <c r="K10" s="18"/>
    </row>
    <row r="11" spans="1:11" ht="15.75" customHeight="1" thickBot="1">
      <c r="A11" s="1" t="s">
        <v>142</v>
      </c>
      <c r="B11" s="26"/>
      <c r="C11" s="79">
        <f>'Table 5A'!C11+'Table 5B'!C11</f>
        <v>11757910</v>
      </c>
      <c r="D11" s="78"/>
      <c r="E11" s="79">
        <f>'Table 5A'!E11+'Table 5B'!E11</f>
        <v>11757909.88</v>
      </c>
      <c r="F11" s="78"/>
      <c r="G11" s="79">
        <f>'Table 5A'!G11+'Table 5B'!G11</f>
        <v>11980296.38</v>
      </c>
      <c r="H11" s="78"/>
      <c r="I11" s="79">
        <f>'Table 5A'!I11+'Table 5B'!I11</f>
        <v>12195452.823333327</v>
      </c>
      <c r="J11" s="78"/>
      <c r="K11" s="79">
        <f>'Table 5A'!K11+'Table 5B'!K11</f>
        <v>12388197.868966658</v>
      </c>
    </row>
    <row r="12" spans="1:11" ht="15.75" customHeight="1">
      <c r="A12" s="67" t="s">
        <v>143</v>
      </c>
      <c r="B12" s="26"/>
      <c r="C12" s="94"/>
      <c r="D12" s="73"/>
      <c r="E12" s="72"/>
      <c r="F12" s="73"/>
      <c r="G12" s="72"/>
      <c r="H12" s="73"/>
      <c r="I12" s="72"/>
      <c r="J12" s="73"/>
      <c r="K12" s="72"/>
    </row>
    <row r="13" spans="1:11" ht="15.75" customHeight="1">
      <c r="A13" s="66" t="s">
        <v>144</v>
      </c>
      <c r="C13" s="65">
        <f>'Table 5A'!C13+'Table 5B'!C13</f>
        <v>1368976</v>
      </c>
      <c r="D13" s="73"/>
      <c r="E13" s="31">
        <f>'Table 5A'!E13+'Table 5B'!E13</f>
        <v>330121.5</v>
      </c>
      <c r="F13" s="73"/>
      <c r="G13" s="31">
        <f>'Table 5A'!G13+'Table 5B'!G13</f>
        <v>204329.97666666005</v>
      </c>
      <c r="H13" s="73"/>
      <c r="I13" s="31">
        <f>'Table 5A'!I13+'Table 5B'!I13</f>
        <v>-692303.4210333368</v>
      </c>
      <c r="J13" s="73"/>
      <c r="K13" s="31">
        <f>'Table 5A'!K13+'Table 5B'!K13</f>
        <v>-699903.7132683387</v>
      </c>
    </row>
    <row r="14" spans="1:11" ht="15.75" customHeight="1">
      <c r="A14" s="66" t="s">
        <v>145</v>
      </c>
      <c r="C14" s="65">
        <f>'Table 5A'!C14+'Table 5B'!C14</f>
        <v>1237179</v>
      </c>
      <c r="D14" s="73"/>
      <c r="E14" s="31">
        <f>'Table 5A'!E14+'Table 5B'!E14</f>
        <v>1485205</v>
      </c>
      <c r="F14" s="73"/>
      <c r="G14" s="31">
        <f>'Table 5A'!G14+'Table 5B'!G14</f>
        <v>1514909.1</v>
      </c>
      <c r="H14" s="73"/>
      <c r="I14" s="31">
        <f>'Table 5A'!I14+'Table 5B'!I14</f>
        <v>1545207.2820000001</v>
      </c>
      <c r="J14" s="73"/>
      <c r="K14" s="31">
        <f>'Table 5A'!K14+'Table 5B'!K14</f>
        <v>1576111.4276400001</v>
      </c>
    </row>
    <row r="15" spans="1:11" ht="15.75" customHeight="1">
      <c r="A15" s="66" t="s">
        <v>146</v>
      </c>
      <c r="C15" s="65">
        <f>'Table 5A'!C15+'Table 5B'!C15</f>
        <v>663765.8400000008</v>
      </c>
      <c r="D15" s="73"/>
      <c r="E15" s="65">
        <f>'Table 5A'!E15+'Table 5B'!E15</f>
        <v>0</v>
      </c>
      <c r="F15" s="74"/>
      <c r="G15" s="65">
        <f>'Table 5A'!G15+'Table 5B'!G15</f>
        <v>0</v>
      </c>
      <c r="H15" s="74"/>
      <c r="I15" s="65">
        <f>'Table 5A'!I15+'Table 5B'!I15</f>
        <v>0</v>
      </c>
      <c r="J15" s="74"/>
      <c r="K15" s="65">
        <f>'Table 5A'!K15+'Table 5B'!K15</f>
        <v>0</v>
      </c>
    </row>
    <row r="16" spans="1:11" ht="15.75" customHeight="1">
      <c r="A16" s="66" t="s">
        <v>147</v>
      </c>
      <c r="C16" s="69">
        <f>'Table 5A'!C16+'Table 5B'!C16</f>
        <v>45173</v>
      </c>
      <c r="D16" s="75"/>
      <c r="E16" s="69">
        <f>'Table 5A'!E16+'Table 5B'!E16</f>
        <v>4999</v>
      </c>
      <c r="F16" s="76"/>
      <c r="G16" s="69">
        <f>'Table 5A'!G16+'Table 5B'!G16</f>
        <v>9999</v>
      </c>
      <c r="H16" s="76"/>
      <c r="I16" s="69">
        <f>'Table 5A'!I16+'Table 5B'!I16</f>
        <v>4999</v>
      </c>
      <c r="J16" s="76"/>
      <c r="K16" s="69">
        <f>'Table 5A'!K16+'Table 5B'!K16</f>
        <v>4998</v>
      </c>
    </row>
    <row r="17" spans="1:11" ht="15.75" customHeight="1" thickBot="1">
      <c r="A17" s="67" t="s">
        <v>148</v>
      </c>
      <c r="B17" s="26"/>
      <c r="C17" s="80">
        <f>SUM(C13:C16)</f>
        <v>3315093.840000001</v>
      </c>
      <c r="D17" s="81"/>
      <c r="E17" s="80">
        <f>SUM(E13:E16)</f>
        <v>1820325.5</v>
      </c>
      <c r="F17" s="81"/>
      <c r="G17" s="80">
        <f>SUM(G13:G16)</f>
        <v>1729238.0766666601</v>
      </c>
      <c r="H17" s="81"/>
      <c r="I17" s="80">
        <f>SUM(I13:I16)</f>
        <v>857902.8609666633</v>
      </c>
      <c r="J17" s="81"/>
      <c r="K17" s="80">
        <f>SUM(K13:K16)</f>
        <v>881205.7143716614</v>
      </c>
    </row>
    <row r="18" spans="1:11" ht="15.75" customHeight="1">
      <c r="A18" s="1"/>
      <c r="B18" s="26"/>
      <c r="C18" s="94"/>
      <c r="D18" s="73"/>
      <c r="E18" s="72"/>
      <c r="F18" s="73"/>
      <c r="G18" s="72"/>
      <c r="H18" s="73"/>
      <c r="I18" s="72"/>
      <c r="J18" s="73"/>
      <c r="K18" s="72"/>
    </row>
    <row r="19" spans="1:11" ht="15.75" customHeight="1">
      <c r="A19" s="67" t="s">
        <v>149</v>
      </c>
      <c r="B19" s="26"/>
      <c r="C19" s="65"/>
      <c r="D19" s="31"/>
      <c r="E19" s="31"/>
      <c r="F19" s="31"/>
      <c r="G19" s="31"/>
      <c r="H19" s="31"/>
      <c r="I19" s="31"/>
      <c r="J19" s="31"/>
      <c r="K19" s="31"/>
    </row>
    <row r="20" spans="1:11" ht="15.75" customHeight="1">
      <c r="A20" s="66" t="s">
        <v>150</v>
      </c>
      <c r="B20" s="26"/>
      <c r="C20" s="95"/>
      <c r="D20" s="71"/>
      <c r="E20" s="71"/>
      <c r="F20" s="71"/>
      <c r="G20" s="71"/>
      <c r="H20" s="71"/>
      <c r="I20" s="71"/>
      <c r="J20" s="71"/>
      <c r="K20" s="71"/>
    </row>
    <row r="21" spans="1:11" ht="15.75" customHeight="1">
      <c r="A21" s="68" t="s">
        <v>151</v>
      </c>
      <c r="C21" s="65">
        <f>'Table 5A'!C21+'Table 5B'!C21</f>
        <v>0</v>
      </c>
      <c r="D21" s="73"/>
      <c r="E21" s="31">
        <f>'Table 5A'!E21+'Table 5B'!E21</f>
        <v>0</v>
      </c>
      <c r="F21" s="73"/>
      <c r="G21" s="31">
        <f>'Table 5A'!G21+'Table 5B'!G21</f>
        <v>0</v>
      </c>
      <c r="H21" s="73"/>
      <c r="I21" s="31">
        <f>'Table 5A'!I21+'Table 5B'!I21</f>
        <v>0</v>
      </c>
      <c r="J21" s="73"/>
      <c r="K21" s="31">
        <f>'Table 5A'!K21+'Table 5B'!K21</f>
        <v>0</v>
      </c>
    </row>
    <row r="22" spans="1:11" ht="15.75" customHeight="1">
      <c r="A22" s="68" t="s">
        <v>152</v>
      </c>
      <c r="C22" s="65">
        <f>'Table 5A'!C22+'Table 5B'!C22</f>
        <v>0</v>
      </c>
      <c r="D22" s="73"/>
      <c r="E22" s="31">
        <f>'Table 5A'!E22+'Table 5B'!E22</f>
        <v>0</v>
      </c>
      <c r="F22" s="73"/>
      <c r="G22" s="31">
        <f>'Table 5A'!G22+'Table 5B'!G22</f>
        <v>0</v>
      </c>
      <c r="H22" s="73"/>
      <c r="I22" s="31">
        <f>'Table 5A'!I22+'Table 5B'!I22</f>
        <v>0</v>
      </c>
      <c r="J22" s="73"/>
      <c r="K22" s="31">
        <f>'Table 5A'!K22+'Table 5B'!K22</f>
        <v>0</v>
      </c>
    </row>
    <row r="23" spans="1:11" ht="15.75" customHeight="1">
      <c r="A23" s="68" t="s">
        <v>153</v>
      </c>
      <c r="C23" s="94">
        <f>'Table 5A'!C23+'Table 5B'!C23</f>
        <v>-40692.54000000004</v>
      </c>
      <c r="D23" s="73"/>
      <c r="E23" s="72">
        <f>'Table 5A'!E23+'Table 5B'!E23</f>
        <v>-288719</v>
      </c>
      <c r="F23" s="73"/>
      <c r="G23" s="72">
        <f>'Table 5A'!G23+'Table 5B'!G23</f>
        <v>-199860.36666666676</v>
      </c>
      <c r="H23" s="73"/>
      <c r="I23" s="72">
        <f>'Table 5A'!I23+'Table 5B'!I23</f>
        <v>-230158.5486666668</v>
      </c>
      <c r="J23" s="73"/>
      <c r="K23" s="72">
        <f>'Table 5A'!K23+'Table 5B'!K23</f>
        <v>-261062.6943066668</v>
      </c>
    </row>
    <row r="24" spans="1:11" ht="15.75" customHeight="1">
      <c r="A24" s="68" t="s">
        <v>154</v>
      </c>
      <c r="C24" s="96">
        <f>'Table 5A'!C24+'Table 5B'!C24</f>
        <v>-2111689.42</v>
      </c>
      <c r="D24" s="75"/>
      <c r="E24" s="77">
        <f>'Table 5A'!E24+'Table 5B'!E24</f>
        <v>-889220.5</v>
      </c>
      <c r="F24" s="75"/>
      <c r="G24" s="77">
        <f>'Table 5A'!G24+'Table 5B'!G24</f>
        <v>-889220.5</v>
      </c>
      <c r="H24" s="75"/>
      <c r="I24" s="77">
        <f>'Table 5A'!I24+'Table 5B'!I24</f>
        <v>0</v>
      </c>
      <c r="J24" s="75"/>
      <c r="K24" s="77">
        <f>'Table 5A'!K24+'Table 5B'!K24</f>
        <v>0</v>
      </c>
    </row>
    <row r="25" spans="1:11" ht="15.75" customHeight="1">
      <c r="A25" s="68" t="s">
        <v>155</v>
      </c>
      <c r="C25" s="82">
        <f>SUM(C21:C24)</f>
        <v>-2152381.96</v>
      </c>
      <c r="D25" s="83"/>
      <c r="E25" s="82">
        <f>SUM(E21:E24)</f>
        <v>-1177939.5</v>
      </c>
      <c r="F25" s="83"/>
      <c r="G25" s="82">
        <f>SUM(G21:G24)</f>
        <v>-1089080.8666666667</v>
      </c>
      <c r="H25" s="83"/>
      <c r="I25" s="82">
        <f>SUM(I21:I24)</f>
        <v>-230158.5486666668</v>
      </c>
      <c r="J25" s="83"/>
      <c r="K25" s="82">
        <f>SUM(K21:K24)</f>
        <v>-261062.6943066668</v>
      </c>
    </row>
    <row r="26" spans="1:11" ht="15.75" customHeight="1">
      <c r="A26" s="67"/>
      <c r="B26" s="26"/>
      <c r="C26" s="65"/>
      <c r="D26" s="73"/>
      <c r="E26" s="31"/>
      <c r="F26" s="73"/>
      <c r="G26" s="31"/>
      <c r="H26" s="73"/>
      <c r="I26" s="31"/>
      <c r="J26" s="73"/>
      <c r="K26" s="31"/>
    </row>
    <row r="27" spans="1:11" ht="15.75" customHeight="1">
      <c r="A27" s="66" t="s">
        <v>156</v>
      </c>
      <c r="B27" s="26"/>
      <c r="C27" s="94"/>
      <c r="D27" s="73"/>
      <c r="E27" s="72"/>
      <c r="F27" s="73"/>
      <c r="G27" s="72"/>
      <c r="H27" s="73"/>
      <c r="I27" s="72"/>
      <c r="J27" s="73"/>
      <c r="K27" s="72"/>
    </row>
    <row r="28" spans="1:11" ht="15.75" customHeight="1">
      <c r="A28" s="68" t="s">
        <v>41</v>
      </c>
      <c r="C28" s="95">
        <f>'Table 5A'!C28+'Table 5B'!C28</f>
        <v>-747712</v>
      </c>
      <c r="D28" s="73"/>
      <c r="E28" s="72">
        <f>'Table 5A'!E28+'Table 5B'!E28</f>
        <v>0</v>
      </c>
      <c r="F28" s="73"/>
      <c r="G28" s="72">
        <f>'Table 5A'!G28+'Table 5B'!G28</f>
        <v>0</v>
      </c>
      <c r="H28" s="73"/>
      <c r="I28" s="72">
        <f>'Table 5A'!I28+'Table 5B'!I28</f>
        <v>0</v>
      </c>
      <c r="J28" s="73"/>
      <c r="K28" s="72">
        <f>'Table 5A'!K28+'Table 5B'!K28</f>
        <v>0</v>
      </c>
    </row>
    <row r="29" spans="1:12" ht="15.75" customHeight="1">
      <c r="A29" s="68" t="s">
        <v>157</v>
      </c>
      <c r="C29" s="95">
        <f>'Table 5A'!C29+'Table 5B'!C29</f>
        <v>0</v>
      </c>
      <c r="D29" s="12"/>
      <c r="E29" s="12">
        <f>'Table 5A'!E29+'Table 5B'!E29</f>
        <v>0</v>
      </c>
      <c r="F29" s="12"/>
      <c r="G29" s="12">
        <f>'Table 5A'!G29+'Table 5B'!G29</f>
        <v>0</v>
      </c>
      <c r="H29" s="12"/>
      <c r="I29" s="12">
        <f>'Table 5A'!I29+'Table 5B'!I29</f>
        <v>0</v>
      </c>
      <c r="J29" s="12"/>
      <c r="K29" s="12">
        <f>'Table 5A'!K29+'Table 5B'!K29</f>
        <v>0</v>
      </c>
      <c r="L29" s="26"/>
    </row>
    <row r="30" spans="1:11" ht="15.75" customHeight="1">
      <c r="A30" s="68" t="s">
        <v>158</v>
      </c>
      <c r="C30" s="82">
        <f>SUM(C28:C29)</f>
        <v>-747712</v>
      </c>
      <c r="D30" s="84"/>
      <c r="E30" s="82">
        <f>SUM(E28:E29)</f>
        <v>0</v>
      </c>
      <c r="F30" s="84"/>
      <c r="G30" s="82">
        <f>SUM(G28:G29)</f>
        <v>0</v>
      </c>
      <c r="H30" s="84"/>
      <c r="I30" s="82">
        <f>SUM(I28:I29)</f>
        <v>0</v>
      </c>
      <c r="J30" s="84"/>
      <c r="K30" s="82">
        <f>SUM(K28:K29)</f>
        <v>0</v>
      </c>
    </row>
    <row r="31" spans="1:11" ht="15.75" customHeight="1">
      <c r="A31" s="1"/>
      <c r="B31" s="26"/>
      <c r="C31" s="94"/>
      <c r="D31" s="73"/>
      <c r="E31" s="72"/>
      <c r="F31" s="73"/>
      <c r="G31" s="72"/>
      <c r="H31" s="73"/>
      <c r="I31" s="72"/>
      <c r="J31" s="73"/>
      <c r="K31" s="72"/>
    </row>
    <row r="32" spans="1:11" ht="15.75" customHeight="1" thickBot="1">
      <c r="A32" s="67" t="s">
        <v>159</v>
      </c>
      <c r="B32" s="26"/>
      <c r="C32" s="85">
        <f>C25+C30</f>
        <v>-2900093.96</v>
      </c>
      <c r="D32" s="86"/>
      <c r="E32" s="85">
        <f>E25+E30</f>
        <v>-1177939.5</v>
      </c>
      <c r="F32" s="86"/>
      <c r="G32" s="85">
        <f>G25+G30</f>
        <v>-1089080.8666666667</v>
      </c>
      <c r="H32" s="86"/>
      <c r="I32" s="85">
        <f>I25+I30</f>
        <v>-230158.5486666668</v>
      </c>
      <c r="J32" s="86"/>
      <c r="K32" s="85">
        <f>K25+K30</f>
        <v>-261062.6943066668</v>
      </c>
    </row>
    <row r="33" spans="1:11" ht="15.75" customHeight="1">
      <c r="A33" s="67"/>
      <c r="B33" s="26"/>
      <c r="C33" s="65"/>
      <c r="D33" s="73"/>
      <c r="E33" s="31"/>
      <c r="F33" s="73"/>
      <c r="G33" s="31"/>
      <c r="H33" s="73"/>
      <c r="I33" s="31"/>
      <c r="J33" s="73"/>
      <c r="K33" s="31"/>
    </row>
    <row r="34" spans="1:11" ht="15.75" customHeight="1">
      <c r="A34" s="67" t="s">
        <v>160</v>
      </c>
      <c r="B34" s="26"/>
      <c r="C34" s="65"/>
      <c r="D34" s="73"/>
      <c r="E34" s="31"/>
      <c r="F34" s="73"/>
      <c r="G34" s="31"/>
      <c r="H34" s="73"/>
      <c r="I34" s="31"/>
      <c r="J34" s="73"/>
      <c r="K34" s="31"/>
    </row>
    <row r="35" spans="1:11" ht="15.75" customHeight="1">
      <c r="A35" s="66" t="s">
        <v>161</v>
      </c>
      <c r="B35" s="26"/>
      <c r="C35" s="65"/>
      <c r="D35" s="73"/>
      <c r="E35" s="31"/>
      <c r="F35" s="73"/>
      <c r="G35" s="31"/>
      <c r="H35" s="73"/>
      <c r="I35" s="31"/>
      <c r="J35" s="73"/>
      <c r="K35" s="31"/>
    </row>
    <row r="36" spans="1:11" ht="15.75" customHeight="1">
      <c r="A36" s="68" t="s">
        <v>162</v>
      </c>
      <c r="C36" s="65">
        <f>'Table 5A'!C36+'Table 5B'!C36</f>
        <v>-415000</v>
      </c>
      <c r="D36" s="73"/>
      <c r="E36" s="31">
        <f>'Table 5A'!E36+'Table 5B'!E36</f>
        <v>-420000</v>
      </c>
      <c r="F36" s="73"/>
      <c r="G36" s="31">
        <f>'Table 5A'!G36+'Table 5B'!G36</f>
        <v>-425000</v>
      </c>
      <c r="H36" s="73"/>
      <c r="I36" s="31">
        <f>'Table 5A'!I36+'Table 5B'!I36</f>
        <v>-435000</v>
      </c>
      <c r="J36" s="73"/>
      <c r="K36" s="31">
        <f>'Table 5A'!K36+'Table 5B'!K36</f>
        <v>-440000</v>
      </c>
    </row>
    <row r="37" spans="1:11" ht="15.75" customHeight="1">
      <c r="A37" s="68" t="s">
        <v>163</v>
      </c>
      <c r="C37" s="65">
        <f>'Table 5A'!C37+'Table 5B'!C37</f>
        <v>0</v>
      </c>
      <c r="D37" s="73"/>
      <c r="E37" s="31">
        <f>'Table 5A'!E37+'Table 5B'!E37</f>
        <v>0</v>
      </c>
      <c r="F37" s="73"/>
      <c r="G37" s="31">
        <f>'Table 5A'!G37+'Table 5B'!G37</f>
        <v>0</v>
      </c>
      <c r="H37" s="73"/>
      <c r="I37" s="31">
        <f>'Table 5A'!I37+'Table 5B'!I37</f>
        <v>0</v>
      </c>
      <c r="J37" s="73"/>
      <c r="K37" s="31">
        <f>'Table 5A'!K37+'Table 5B'!K37</f>
        <v>0</v>
      </c>
    </row>
    <row r="38" spans="1:11" ht="15.75" customHeight="1" thickBot="1">
      <c r="A38" s="68" t="s">
        <v>164</v>
      </c>
      <c r="C38" s="97">
        <f>'Table 5A'!C38+'Table 5B'!C38</f>
        <v>0</v>
      </c>
      <c r="D38" s="70"/>
      <c r="E38" s="70">
        <f>'Table 5A'!E38+'Table 5B'!E38</f>
        <v>0</v>
      </c>
      <c r="F38" s="70"/>
      <c r="G38" s="70">
        <f>'Table 5A'!G38+'Table 5B'!G38</f>
        <v>0</v>
      </c>
      <c r="H38" s="70"/>
      <c r="I38" s="70">
        <f>'Table 5A'!I38+'Table 5B'!I38</f>
        <v>0</v>
      </c>
      <c r="J38" s="70"/>
      <c r="K38" s="70">
        <f>'Table 5A'!K38+'Table 5B'!K38</f>
        <v>0</v>
      </c>
    </row>
    <row r="39" spans="1:11" ht="15.75" customHeight="1">
      <c r="A39" s="67" t="s">
        <v>165</v>
      </c>
      <c r="B39" s="26"/>
      <c r="C39" s="87">
        <f>SUM(C36:C38)</f>
        <v>-415000</v>
      </c>
      <c r="D39" s="88"/>
      <c r="E39" s="87">
        <f>SUM(E36:E38)</f>
        <v>-420000</v>
      </c>
      <c r="F39" s="88"/>
      <c r="G39" s="87">
        <f>SUM(G36:G38)</f>
        <v>-425000</v>
      </c>
      <c r="H39" s="88"/>
      <c r="I39" s="87">
        <f>SUM(I36:I38)</f>
        <v>-435000</v>
      </c>
      <c r="J39" s="88"/>
      <c r="K39" s="87">
        <f>SUM(K36:K38)</f>
        <v>-440000</v>
      </c>
    </row>
    <row r="40" spans="1:11" ht="15.75" customHeight="1">
      <c r="A40" s="67"/>
      <c r="B40" s="26"/>
      <c r="C40" s="65"/>
      <c r="D40" s="73"/>
      <c r="E40" s="31"/>
      <c r="F40" s="73"/>
      <c r="G40" s="31"/>
      <c r="H40" s="73"/>
      <c r="I40" s="31"/>
      <c r="J40" s="73"/>
      <c r="K40" s="31"/>
    </row>
    <row r="41" spans="1:11" ht="15.75" customHeight="1">
      <c r="A41" s="67" t="s">
        <v>166</v>
      </c>
      <c r="B41" s="26"/>
      <c r="C41" s="94"/>
      <c r="D41" s="73"/>
      <c r="E41" s="72"/>
      <c r="F41" s="73"/>
      <c r="G41" s="72"/>
      <c r="H41" s="73"/>
      <c r="I41" s="72"/>
      <c r="J41" s="73"/>
      <c r="K41" s="72"/>
    </row>
    <row r="42" spans="1:11" ht="15.75" customHeight="1">
      <c r="A42" s="66" t="s">
        <v>167</v>
      </c>
      <c r="C42" s="65">
        <f>'Table 5A'!C42+'Table 5B'!C42</f>
        <v>0</v>
      </c>
      <c r="D42" s="73"/>
      <c r="E42" s="31">
        <f>'Table 5A'!E42+'Table 5B'!E42</f>
        <v>0</v>
      </c>
      <c r="F42" s="73"/>
      <c r="G42" s="31">
        <f>'Table 5A'!G42+'Table 5B'!G42</f>
        <v>0</v>
      </c>
      <c r="H42" s="73"/>
      <c r="I42" s="31">
        <f>'Table 5A'!I42+'Table 5B'!I42</f>
        <v>0</v>
      </c>
      <c r="J42" s="73"/>
      <c r="K42" s="31">
        <f>'Table 5A'!K42+'Table 5B'!K42</f>
        <v>0</v>
      </c>
    </row>
    <row r="43" spans="1:11" ht="15.75" customHeight="1">
      <c r="A43" s="66" t="s">
        <v>21</v>
      </c>
      <c r="C43" s="65">
        <f>'Table 5A'!C43+'Table 5B'!C43</f>
        <v>0</v>
      </c>
      <c r="D43" s="73"/>
      <c r="E43" s="31">
        <f>'Table 5A'!E43+'Table 5B'!E43</f>
        <v>0</v>
      </c>
      <c r="F43" s="73"/>
      <c r="G43" s="31">
        <f>'Table 5A'!G43+'Table 5B'!G43</f>
        <v>0</v>
      </c>
      <c r="H43" s="73"/>
      <c r="I43" s="31">
        <f>'Table 5A'!I43+'Table 5B'!I43</f>
        <v>0</v>
      </c>
      <c r="J43" s="73"/>
      <c r="K43" s="31">
        <f>'Table 5A'!K43+'Table 5B'!K43</f>
        <v>0</v>
      </c>
    </row>
    <row r="44" spans="1:11" ht="15.75" customHeight="1">
      <c r="A44" s="66" t="s">
        <v>168</v>
      </c>
      <c r="C44" s="65">
        <f>'Table 5A'!C44+'Table 5B'!C44</f>
        <v>0</v>
      </c>
      <c r="D44" s="73"/>
      <c r="E44" s="31">
        <f>'Table 5A'!E44+'Table 5B'!E44</f>
        <v>0.5</v>
      </c>
      <c r="F44" s="73"/>
      <c r="G44" s="31">
        <f>'Table 5A'!G44+'Table 5B'!G44</f>
        <v>-0.7666666666045785</v>
      </c>
      <c r="H44" s="73"/>
      <c r="I44" s="31">
        <f>'Table 5A'!I44+'Table 5B'!I44</f>
        <v>0.7333333333372138</v>
      </c>
      <c r="J44" s="73"/>
      <c r="K44" s="31">
        <f>'Table 5A'!K44+'Table 5B'!K44</f>
        <v>-0.26666666666278616</v>
      </c>
    </row>
    <row r="45" spans="1:11" ht="15.75" customHeight="1">
      <c r="A45" s="66" t="s">
        <v>21</v>
      </c>
      <c r="C45" s="96">
        <f>'Table 5A'!C45+'Table 5B'!C45</f>
        <v>0</v>
      </c>
      <c r="D45" s="75"/>
      <c r="E45" s="77">
        <f>'Table 5A'!E45+'Table 5B'!E45</f>
        <v>0</v>
      </c>
      <c r="F45" s="75"/>
      <c r="G45" s="77">
        <f>'Table 5A'!G45+'Table 5B'!G45</f>
        <v>0</v>
      </c>
      <c r="H45" s="75"/>
      <c r="I45" s="77">
        <f>'Table 5A'!I45+'Table 5B'!I45</f>
        <v>0</v>
      </c>
      <c r="J45" s="75"/>
      <c r="K45" s="77">
        <f>'Table 5A'!K45+'Table 5B'!K45</f>
        <v>0</v>
      </c>
    </row>
    <row r="46" spans="1:11" ht="15.75" customHeight="1" thickBot="1">
      <c r="A46" s="67" t="s">
        <v>169</v>
      </c>
      <c r="B46" s="26"/>
      <c r="C46" s="80">
        <f>SUM(C42:C45)</f>
        <v>0</v>
      </c>
      <c r="D46" s="80"/>
      <c r="E46" s="80">
        <f>SUM(E42:E45)</f>
        <v>0.5</v>
      </c>
      <c r="F46" s="80"/>
      <c r="G46" s="80">
        <f>SUM(G42:G45)</f>
        <v>-0.7666666666045785</v>
      </c>
      <c r="H46" s="80"/>
      <c r="I46" s="80">
        <f>SUM(I42:I45)</f>
        <v>0.7333333333372138</v>
      </c>
      <c r="J46" s="80"/>
      <c r="K46" s="80">
        <f>SUM(K42:K45)</f>
        <v>-0.26666666666278616</v>
      </c>
    </row>
    <row r="47" spans="1:11" ht="15.75" customHeight="1">
      <c r="A47" s="1"/>
      <c r="B47" s="26"/>
      <c r="C47" s="98"/>
      <c r="D47" s="89"/>
      <c r="E47" s="89"/>
      <c r="F47" s="90"/>
      <c r="G47" s="89"/>
      <c r="H47" s="90"/>
      <c r="I47" s="89"/>
      <c r="J47" s="90"/>
      <c r="K47" s="89"/>
    </row>
    <row r="48" spans="1:11" ht="15.75" customHeight="1" thickBot="1">
      <c r="A48" s="1" t="s">
        <v>170</v>
      </c>
      <c r="B48" s="26"/>
      <c r="C48" s="85">
        <f>C17+C32+C39+C46</f>
        <v>-0.11999999918043613</v>
      </c>
      <c r="D48" s="85"/>
      <c r="E48" s="85">
        <f>E17+E32+E39+E46</f>
        <v>222386.5</v>
      </c>
      <c r="F48" s="85"/>
      <c r="G48" s="85">
        <f>G17+G32+G39+G46</f>
        <v>215156.44333332684</v>
      </c>
      <c r="H48" s="85"/>
      <c r="I48" s="85">
        <f>I17+I32+I39+I46</f>
        <v>192745.04563332995</v>
      </c>
      <c r="J48" s="85"/>
      <c r="K48" s="85">
        <f>K17+K32+K39+K46</f>
        <v>180142.75339832803</v>
      </c>
    </row>
    <row r="49" spans="1:11" ht="12.75">
      <c r="A49" s="1"/>
      <c r="B49" s="26"/>
      <c r="C49" s="98"/>
      <c r="D49" s="89"/>
      <c r="E49" s="89"/>
      <c r="F49" s="90"/>
      <c r="G49" s="89"/>
      <c r="H49" s="90"/>
      <c r="I49" s="89"/>
      <c r="J49" s="90"/>
      <c r="K49" s="89"/>
    </row>
    <row r="50" spans="1:11" ht="13.5" thickBot="1">
      <c r="A50" s="1" t="s">
        <v>171</v>
      </c>
      <c r="C50" s="91">
        <f>C11+C48</f>
        <v>11757909.88</v>
      </c>
      <c r="D50" s="91"/>
      <c r="E50" s="91">
        <f>E11+E48</f>
        <v>11980296.38</v>
      </c>
      <c r="F50" s="91"/>
      <c r="G50" s="91">
        <f>G11+G48</f>
        <v>12195452.823333327</v>
      </c>
      <c r="H50" s="91"/>
      <c r="I50" s="91">
        <f>I11+I48</f>
        <v>12388197.868966656</v>
      </c>
      <c r="J50" s="91"/>
      <c r="K50" s="91">
        <f>K11+K48</f>
        <v>12568340.622364985</v>
      </c>
    </row>
    <row r="51" spans="3:11" ht="13.5" thickTop="1">
      <c r="C51" s="95"/>
      <c r="D51" s="71"/>
      <c r="E51" s="71"/>
      <c r="F51" s="71"/>
      <c r="G51" s="71"/>
      <c r="H51" s="11"/>
      <c r="I51" s="71"/>
      <c r="J51" s="71"/>
      <c r="K51" s="71"/>
    </row>
    <row r="52" spans="1:11" ht="12.75">
      <c r="A52" s="1" t="s">
        <v>172</v>
      </c>
      <c r="C52" s="89">
        <f>C50-'Table 4C'!C11</f>
        <v>-0.11999999918043613</v>
      </c>
      <c r="D52" s="92"/>
      <c r="E52" s="89">
        <f>E50-'Table 4C'!E11</f>
        <v>0.38000000081956387</v>
      </c>
      <c r="F52" s="92"/>
      <c r="G52" s="89">
        <f>G50-'Table 4C'!G11</f>
        <v>-0.17666667327284813</v>
      </c>
      <c r="H52" s="92"/>
      <c r="I52" s="89">
        <f>I50-'Table 4C'!I11</f>
        <v>-0.13103334419429302</v>
      </c>
      <c r="J52" s="92"/>
      <c r="K52" s="89">
        <f>K50-'Table 4C'!K11</f>
        <v>-0.3776350151747465</v>
      </c>
    </row>
    <row r="53" ht="12.75">
      <c r="C53" s="100"/>
    </row>
  </sheetData>
  <sheetProtection/>
  <mergeCells count="5">
    <mergeCell ref="A5:K5"/>
    <mergeCell ref="A1:K1"/>
    <mergeCell ref="A2:K2"/>
    <mergeCell ref="A3:K3"/>
    <mergeCell ref="A4:K4"/>
  </mergeCells>
  <printOptions horizontalCentered="1"/>
  <pageMargins left="0.25" right="0.25" top="0.77" bottom="0.75" header="0.5" footer="0.5"/>
  <pageSetup fitToHeight="1" fitToWidth="1" horizontalDpi="600" verticalDpi="600" orientation="portrait" scale="84" r:id="rId1"/>
  <headerFooter alignWithMargins="0">
    <oddHeader>&amp;L&amp;11NOTE: This table requires no 'fill-in' as it is populated automatically from Tables 5A &amp;&amp; 5B.</oddHeader>
    <oddFooter>&amp;L&amp;D
Health Care Administration&amp;R&amp;F, 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0" sqref="R2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zoomScale="75" zoomScaleNormal="75" zoomScalePageLayoutView="0" workbookViewId="0" topLeftCell="A1">
      <selection activeCell="A2" sqref="A2:F2"/>
    </sheetView>
  </sheetViews>
  <sheetFormatPr defaultColWidth="9.140625" defaultRowHeight="12.75"/>
  <cols>
    <col min="1" max="1" width="8.00390625" style="0" customWidth="1"/>
    <col min="2" max="2" width="7.8515625" style="0" customWidth="1"/>
    <col min="3" max="3" width="36.57421875" style="0" customWidth="1"/>
    <col min="4" max="4" width="2.8515625" style="0" customWidth="1"/>
    <col min="5" max="5" width="16.8515625" style="0" customWidth="1"/>
    <col min="6" max="6" width="4.7109375" style="0" customWidth="1"/>
    <col min="8" max="8" width="14.7109375" style="0" customWidth="1"/>
  </cols>
  <sheetData>
    <row r="1" spans="1:6" s="128" customFormat="1" ht="15">
      <c r="A1" s="192" t="str">
        <f>List!A1</f>
        <v>50 Granview Dr</v>
      </c>
      <c r="B1" s="192"/>
      <c r="C1" s="192"/>
      <c r="D1" s="192"/>
      <c r="E1" s="192"/>
      <c r="F1" s="192"/>
    </row>
    <row r="2" spans="1:6" s="128" customFormat="1" ht="15">
      <c r="A2" s="192" t="str">
        <f>List!A2</f>
        <v>WCMHS Infrastructure Improvement Project</v>
      </c>
      <c r="B2" s="192"/>
      <c r="C2" s="192"/>
      <c r="D2" s="192"/>
      <c r="E2" s="192"/>
      <c r="F2" s="192"/>
    </row>
    <row r="3" spans="1:6" s="128" customFormat="1" ht="14.25">
      <c r="A3" s="193" t="s">
        <v>4</v>
      </c>
      <c r="B3" s="193"/>
      <c r="C3" s="193"/>
      <c r="D3" s="193"/>
      <c r="E3" s="193"/>
      <c r="F3" s="193"/>
    </row>
    <row r="4" spans="1:6" s="128" customFormat="1" ht="14.25">
      <c r="A4" s="193" t="s">
        <v>137</v>
      </c>
      <c r="B4" s="193"/>
      <c r="C4" s="193"/>
      <c r="D4" s="193"/>
      <c r="E4" s="193"/>
      <c r="F4" s="193"/>
    </row>
    <row r="5" spans="1:6" ht="6.75" customHeight="1">
      <c r="A5" s="190"/>
      <c r="B5" s="190"/>
      <c r="C5" s="190"/>
      <c r="D5" s="190"/>
      <c r="E5" s="190"/>
      <c r="F5" s="190"/>
    </row>
    <row r="8" spans="1:5" ht="15.75">
      <c r="A8" s="48" t="s">
        <v>5</v>
      </c>
      <c r="B8" s="49"/>
      <c r="C8" s="49"/>
      <c r="D8" s="49"/>
      <c r="E8" s="50"/>
    </row>
    <row r="9" spans="1:5" ht="15">
      <c r="A9" s="51" t="s">
        <v>43</v>
      </c>
      <c r="B9" s="52" t="s">
        <v>6</v>
      </c>
      <c r="C9" s="53"/>
      <c r="D9" s="53"/>
      <c r="E9" s="158">
        <v>0</v>
      </c>
    </row>
    <row r="10" spans="1:5" ht="15">
      <c r="A10" s="51" t="s">
        <v>44</v>
      </c>
      <c r="B10" s="52" t="s">
        <v>7</v>
      </c>
      <c r="C10" s="53"/>
      <c r="D10" s="53"/>
      <c r="E10" s="183">
        <f>1778441-25000-35000-12000</f>
        <v>1706441</v>
      </c>
    </row>
    <row r="11" spans="1:5" ht="15">
      <c r="A11" s="51" t="s">
        <v>45</v>
      </c>
      <c r="B11" s="52" t="s">
        <v>10</v>
      </c>
      <c r="C11" s="53"/>
      <c r="D11" s="53"/>
      <c r="E11" s="159">
        <v>0</v>
      </c>
    </row>
    <row r="12" spans="1:5" ht="15">
      <c r="A12" s="51" t="s">
        <v>46</v>
      </c>
      <c r="B12" s="52" t="s">
        <v>11</v>
      </c>
      <c r="C12" s="53"/>
      <c r="D12" s="53"/>
      <c r="E12" s="159">
        <v>0</v>
      </c>
    </row>
    <row r="13" spans="1:5" ht="15">
      <c r="A13" s="51" t="s">
        <v>47</v>
      </c>
      <c r="B13" s="52" t="s">
        <v>8</v>
      </c>
      <c r="C13" s="53"/>
      <c r="D13" s="53"/>
      <c r="E13" s="183">
        <v>0</v>
      </c>
    </row>
    <row r="14" spans="1:5" ht="15">
      <c r="A14" s="51" t="s">
        <v>48</v>
      </c>
      <c r="B14" s="52" t="s">
        <v>9</v>
      </c>
      <c r="C14" s="53"/>
      <c r="D14" s="53"/>
      <c r="E14" s="183">
        <v>0</v>
      </c>
    </row>
    <row r="15" spans="1:5" ht="15">
      <c r="A15" s="51" t="s">
        <v>49</v>
      </c>
      <c r="B15" s="52" t="s">
        <v>12</v>
      </c>
      <c r="C15" s="53"/>
      <c r="D15" s="53"/>
      <c r="E15" s="159">
        <v>0</v>
      </c>
    </row>
    <row r="16" spans="1:5" ht="15">
      <c r="A16" s="51" t="s">
        <v>55</v>
      </c>
      <c r="B16" s="52" t="s">
        <v>23</v>
      </c>
      <c r="C16" s="53"/>
      <c r="D16" s="53"/>
      <c r="E16" s="160">
        <v>0</v>
      </c>
    </row>
    <row r="17" spans="1:5" ht="15">
      <c r="A17" s="54"/>
      <c r="B17" s="53"/>
      <c r="C17" s="61" t="s">
        <v>13</v>
      </c>
      <c r="D17" s="53"/>
      <c r="E17" s="62">
        <f>SUM(E9:E16)</f>
        <v>1706441</v>
      </c>
    </row>
    <row r="18" spans="1:5" ht="15">
      <c r="A18" s="54"/>
      <c r="B18" s="53"/>
      <c r="C18" s="53"/>
      <c r="D18" s="53"/>
      <c r="E18" s="56"/>
    </row>
    <row r="19" spans="1:5" ht="15.75">
      <c r="A19" s="57" t="s">
        <v>14</v>
      </c>
      <c r="B19" s="53"/>
      <c r="C19" s="53"/>
      <c r="D19" s="53"/>
      <c r="E19" s="56"/>
    </row>
    <row r="20" spans="1:5" ht="15">
      <c r="A20" s="51" t="s">
        <v>43</v>
      </c>
      <c r="B20" s="52" t="s">
        <v>15</v>
      </c>
      <c r="C20" s="52"/>
      <c r="D20" s="53"/>
      <c r="E20" s="158">
        <v>0</v>
      </c>
    </row>
    <row r="21" spans="1:5" ht="15">
      <c r="A21" s="51" t="s">
        <v>44</v>
      </c>
      <c r="B21" s="52" t="s">
        <v>76</v>
      </c>
      <c r="C21" s="52"/>
      <c r="D21" s="53"/>
      <c r="E21" s="183">
        <v>0</v>
      </c>
    </row>
    <row r="22" spans="1:5" ht="15">
      <c r="A22" s="51" t="s">
        <v>45</v>
      </c>
      <c r="B22" s="52" t="s">
        <v>16</v>
      </c>
      <c r="C22" s="52"/>
      <c r="D22" s="53"/>
      <c r="E22" s="183">
        <v>60000</v>
      </c>
    </row>
    <row r="23" spans="1:5" ht="15">
      <c r="A23" s="51" t="s">
        <v>46</v>
      </c>
      <c r="B23" s="52" t="s">
        <v>17</v>
      </c>
      <c r="C23" s="52"/>
      <c r="D23" s="53"/>
      <c r="E23" s="159">
        <v>0</v>
      </c>
    </row>
    <row r="24" spans="1:5" ht="15">
      <c r="A24" s="51" t="s">
        <v>47</v>
      </c>
      <c r="B24" s="52" t="s">
        <v>18</v>
      </c>
      <c r="C24" s="52"/>
      <c r="D24" s="53"/>
      <c r="E24" s="159">
        <v>0</v>
      </c>
    </row>
    <row r="25" spans="1:8" ht="15">
      <c r="A25" s="51" t="s">
        <v>48</v>
      </c>
      <c r="B25" s="52" t="s">
        <v>19</v>
      </c>
      <c r="C25" s="52"/>
      <c r="D25" s="53"/>
      <c r="E25" s="183">
        <v>12000</v>
      </c>
      <c r="G25" s="4"/>
      <c r="H25" s="4"/>
    </row>
    <row r="26" spans="1:8" ht="15">
      <c r="A26" s="63" t="s">
        <v>49</v>
      </c>
      <c r="B26" s="53" t="s">
        <v>134</v>
      </c>
      <c r="C26" s="53"/>
      <c r="D26" s="53"/>
      <c r="E26" s="64">
        <f>E50</f>
        <v>0</v>
      </c>
      <c r="G26" s="47"/>
      <c r="H26" s="4"/>
    </row>
    <row r="27" spans="1:8" ht="15">
      <c r="A27" s="51" t="s">
        <v>55</v>
      </c>
      <c r="B27" s="52" t="s">
        <v>62</v>
      </c>
      <c r="C27" s="52"/>
      <c r="D27" s="53"/>
      <c r="E27" s="159">
        <v>0</v>
      </c>
      <c r="G27" s="4"/>
      <c r="H27" s="4"/>
    </row>
    <row r="28" spans="1:5" ht="15">
      <c r="A28" s="51" t="s">
        <v>56</v>
      </c>
      <c r="B28" s="52" t="s">
        <v>38</v>
      </c>
      <c r="C28" s="52"/>
      <c r="D28" s="53"/>
      <c r="E28" s="159">
        <v>0</v>
      </c>
    </row>
    <row r="29" spans="1:5" ht="15">
      <c r="A29" s="51" t="s">
        <v>57</v>
      </c>
      <c r="B29" s="52" t="s">
        <v>23</v>
      </c>
      <c r="C29" s="52"/>
      <c r="D29" s="53"/>
      <c r="E29" s="159">
        <v>0</v>
      </c>
    </row>
    <row r="30" spans="1:5" ht="15">
      <c r="A30" s="54"/>
      <c r="B30" s="53"/>
      <c r="C30" s="61" t="s">
        <v>13</v>
      </c>
      <c r="D30" s="53"/>
      <c r="E30" s="62">
        <f>SUM(E20:E29)</f>
        <v>72000</v>
      </c>
    </row>
    <row r="31" spans="1:5" ht="15">
      <c r="A31" s="54"/>
      <c r="B31" s="53"/>
      <c r="C31" s="53"/>
      <c r="D31" s="53"/>
      <c r="E31" s="56"/>
    </row>
    <row r="32" spans="1:5" ht="16.5" thickBot="1">
      <c r="A32" s="57" t="s">
        <v>22</v>
      </c>
      <c r="B32" s="53"/>
      <c r="C32" s="53"/>
      <c r="D32" s="53"/>
      <c r="E32" s="60">
        <f>E17+E30</f>
        <v>1778441</v>
      </c>
    </row>
    <row r="33" spans="1:7" ht="13.5" thickTop="1">
      <c r="A33" s="21"/>
      <c r="B33" s="2"/>
      <c r="C33" s="2"/>
      <c r="D33" s="2"/>
      <c r="E33" s="59"/>
      <c r="F33" s="4"/>
      <c r="G33" s="4"/>
    </row>
    <row r="34" spans="1:6" ht="16.5" customHeight="1" thickBot="1">
      <c r="A34" s="46"/>
      <c r="B34" s="46"/>
      <c r="C34" s="46"/>
      <c r="D34" s="46"/>
      <c r="E34" s="46"/>
      <c r="F34" s="4"/>
    </row>
    <row r="35" ht="16.5" customHeight="1">
      <c r="F35" s="4"/>
    </row>
    <row r="36" spans="1:5" ht="15.75">
      <c r="A36" s="48" t="s">
        <v>20</v>
      </c>
      <c r="B36" s="49"/>
      <c r="C36" s="49"/>
      <c r="D36" s="49"/>
      <c r="E36" s="50"/>
    </row>
    <row r="37" spans="1:5" ht="15">
      <c r="A37" s="51" t="s">
        <v>43</v>
      </c>
      <c r="B37" s="52" t="s">
        <v>24</v>
      </c>
      <c r="C37" s="53"/>
      <c r="D37" s="53"/>
      <c r="E37" s="158">
        <v>0</v>
      </c>
    </row>
    <row r="38" spans="1:5" ht="15">
      <c r="A38" s="51" t="s">
        <v>44</v>
      </c>
      <c r="B38" s="52" t="s">
        <v>25</v>
      </c>
      <c r="C38" s="53"/>
      <c r="D38" s="53"/>
      <c r="E38" s="159">
        <v>0</v>
      </c>
    </row>
    <row r="39" spans="1:5" ht="15">
      <c r="A39" s="51" t="s">
        <v>45</v>
      </c>
      <c r="B39" s="52" t="s">
        <v>135</v>
      </c>
      <c r="C39" s="53"/>
      <c r="D39" s="53"/>
      <c r="E39" s="159">
        <v>0</v>
      </c>
    </row>
    <row r="40" spans="1:5" ht="15">
      <c r="A40" s="51" t="s">
        <v>46</v>
      </c>
      <c r="B40" s="52" t="s">
        <v>21</v>
      </c>
      <c r="C40" s="53"/>
      <c r="D40" s="53"/>
      <c r="E40" s="160">
        <v>0</v>
      </c>
    </row>
    <row r="41" spans="1:5" ht="15">
      <c r="A41" s="54"/>
      <c r="B41" s="53"/>
      <c r="C41" s="53" t="s">
        <v>13</v>
      </c>
      <c r="D41" s="53"/>
      <c r="E41" s="55">
        <f>SUM(E37:E40)</f>
        <v>0</v>
      </c>
    </row>
    <row r="42" spans="1:5" ht="15">
      <c r="A42" s="54"/>
      <c r="B42" s="53"/>
      <c r="C42" s="53"/>
      <c r="D42" s="53"/>
      <c r="E42" s="56"/>
    </row>
    <row r="43" spans="1:5" ht="15.75">
      <c r="A43" s="57" t="s">
        <v>27</v>
      </c>
      <c r="B43" s="53"/>
      <c r="C43" s="53"/>
      <c r="D43" s="53"/>
      <c r="E43" s="56"/>
    </row>
    <row r="44" spans="1:5" ht="15">
      <c r="A44" s="51" t="s">
        <v>43</v>
      </c>
      <c r="B44" s="52" t="s">
        <v>28</v>
      </c>
      <c r="C44" s="53"/>
      <c r="D44" s="53"/>
      <c r="E44" s="158">
        <v>0</v>
      </c>
    </row>
    <row r="45" spans="1:5" ht="15">
      <c r="A45" s="51" t="s">
        <v>44</v>
      </c>
      <c r="B45" s="52" t="s">
        <v>29</v>
      </c>
      <c r="C45" s="53"/>
      <c r="D45" s="53"/>
      <c r="E45" s="159">
        <v>0</v>
      </c>
    </row>
    <row r="46" spans="1:5" ht="15">
      <c r="A46" s="51" t="s">
        <v>45</v>
      </c>
      <c r="B46" s="52" t="s">
        <v>30</v>
      </c>
      <c r="C46" s="53"/>
      <c r="D46" s="53"/>
      <c r="E46" s="159">
        <v>0</v>
      </c>
    </row>
    <row r="47" spans="1:5" ht="15">
      <c r="A47" s="51" t="s">
        <v>46</v>
      </c>
      <c r="B47" s="52" t="s">
        <v>21</v>
      </c>
      <c r="C47" s="53"/>
      <c r="D47" s="53"/>
      <c r="E47" s="160">
        <v>0</v>
      </c>
    </row>
    <row r="48" spans="1:5" ht="15">
      <c r="A48" s="54"/>
      <c r="B48" s="53"/>
      <c r="C48" s="53" t="s">
        <v>13</v>
      </c>
      <c r="D48" s="53"/>
      <c r="E48" s="58">
        <f>SUM(E44:E47)</f>
        <v>0</v>
      </c>
    </row>
    <row r="49" spans="1:5" ht="15">
      <c r="A49" s="54"/>
      <c r="B49" s="53"/>
      <c r="C49" s="53"/>
      <c r="D49" s="53"/>
      <c r="E49" s="56"/>
    </row>
    <row r="50" spans="1:5" ht="16.5" thickBot="1">
      <c r="A50" s="57" t="s">
        <v>31</v>
      </c>
      <c r="B50" s="53"/>
      <c r="C50" s="53"/>
      <c r="D50" s="53"/>
      <c r="E50" s="60">
        <f>E41-E48</f>
        <v>0</v>
      </c>
    </row>
    <row r="51" spans="1:5" ht="13.5" thickTop="1">
      <c r="A51" s="21"/>
      <c r="B51" s="2" t="s">
        <v>136</v>
      </c>
      <c r="C51" s="2"/>
      <c r="D51" s="2"/>
      <c r="E51" s="59"/>
    </row>
  </sheetData>
  <sheetProtection/>
  <mergeCells count="5">
    <mergeCell ref="A5:F5"/>
    <mergeCell ref="A1:F1"/>
    <mergeCell ref="A2:F2"/>
    <mergeCell ref="A3:F3"/>
    <mergeCell ref="A4:F4"/>
  </mergeCells>
  <printOptions horizontalCentered="1"/>
  <pageMargins left="0.25" right="0.25" top="0.79" bottom="0.75" header="0.5" footer="0.5"/>
  <pageSetup fitToHeight="1" fitToWidth="1" horizontalDpi="600" verticalDpi="600" orientation="portrait" scale="92" r:id="rId2"/>
  <headerFooter alignWithMargins="0">
    <oddHeader>&amp;L&amp;"Arial,Italic"&amp;11NOTE: When completing this table make entries in the shaded fields only.</oddHeader>
    <oddFooter>&amp;L&amp;D
Health Care Administration&amp;R&amp;F, 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8.00390625" style="0" customWidth="1"/>
    <col min="2" max="2" width="4.421875" style="0" customWidth="1"/>
    <col min="3" max="3" width="17.140625" style="0" customWidth="1"/>
    <col min="4" max="4" width="9.8515625" style="0" customWidth="1"/>
    <col min="5" max="5" width="4.8515625" style="0" customWidth="1"/>
    <col min="6" max="6" width="9.421875" style="0" customWidth="1"/>
    <col min="7" max="7" width="15.8515625" style="0" customWidth="1"/>
    <col min="9" max="9" width="13.7109375" style="0" customWidth="1"/>
  </cols>
  <sheetData>
    <row r="1" spans="1:11" s="128" customFormat="1" ht="15">
      <c r="A1" s="192" t="str">
        <f>List!A1</f>
        <v>50 Granview Dr</v>
      </c>
      <c r="B1" s="192"/>
      <c r="C1" s="192"/>
      <c r="D1" s="192"/>
      <c r="E1" s="192"/>
      <c r="F1" s="192"/>
      <c r="G1" s="192"/>
      <c r="H1" s="130"/>
      <c r="I1" s="130"/>
      <c r="J1" s="130"/>
      <c r="K1" s="130"/>
    </row>
    <row r="2" spans="1:11" s="128" customFormat="1" ht="15.75">
      <c r="A2" s="190" t="str">
        <f>List!A2</f>
        <v>WCMHS Infrastructure Improvement Project</v>
      </c>
      <c r="B2" s="190"/>
      <c r="C2" s="190"/>
      <c r="D2" s="190"/>
      <c r="E2" s="190"/>
      <c r="F2" s="190"/>
      <c r="G2" s="190"/>
      <c r="H2" s="130"/>
      <c r="I2" s="130"/>
      <c r="J2" s="130"/>
      <c r="K2" s="130"/>
    </row>
    <row r="3" spans="1:11" s="128" customFormat="1" ht="14.25">
      <c r="A3" s="193" t="s">
        <v>26</v>
      </c>
      <c r="B3" s="193"/>
      <c r="C3" s="193"/>
      <c r="D3" s="193"/>
      <c r="E3" s="193"/>
      <c r="F3" s="193"/>
      <c r="G3" s="193"/>
      <c r="H3" s="130"/>
      <c r="I3" s="130"/>
      <c r="J3" s="130"/>
      <c r="K3" s="130"/>
    </row>
    <row r="4" spans="1:11" s="128" customFormat="1" ht="14.25">
      <c r="A4" s="194" t="s">
        <v>210</v>
      </c>
      <c r="B4" s="194"/>
      <c r="C4" s="194"/>
      <c r="D4" s="194"/>
      <c r="E4" s="194"/>
      <c r="F4" s="194"/>
      <c r="G4" s="194"/>
      <c r="H4" s="130"/>
      <c r="I4" s="130"/>
      <c r="J4" s="130"/>
      <c r="K4" s="130"/>
    </row>
    <row r="5" spans="1:11" ht="15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ht="15.75" customHeight="1"/>
    <row r="7" spans="1:7" ht="15.75" customHeight="1">
      <c r="A7" s="48" t="s">
        <v>32</v>
      </c>
      <c r="B7" s="106"/>
      <c r="C7" s="106"/>
      <c r="D7" s="106"/>
      <c r="E7" s="106"/>
      <c r="F7" s="106"/>
      <c r="G7" s="107"/>
    </row>
    <row r="8" spans="1:7" ht="15.75" customHeight="1">
      <c r="A8" s="19"/>
      <c r="B8" s="4"/>
      <c r="C8" s="4"/>
      <c r="D8" s="4"/>
      <c r="E8" s="4"/>
      <c r="F8" s="4"/>
      <c r="G8" s="20"/>
    </row>
    <row r="9" spans="1:7" ht="15.75" customHeight="1">
      <c r="A9" s="108" t="s">
        <v>43</v>
      </c>
      <c r="B9" s="36" t="s">
        <v>33</v>
      </c>
      <c r="C9" s="4"/>
      <c r="D9" s="165" t="s">
        <v>39</v>
      </c>
      <c r="E9" s="4"/>
      <c r="F9" s="4"/>
      <c r="G9" s="20"/>
    </row>
    <row r="10" spans="1:7" ht="15.75" customHeight="1">
      <c r="A10" s="17"/>
      <c r="B10" s="109" t="s">
        <v>50</v>
      </c>
      <c r="C10" s="36" t="s">
        <v>34</v>
      </c>
      <c r="D10" s="166">
        <v>0</v>
      </c>
      <c r="E10" s="4"/>
      <c r="F10" s="4"/>
      <c r="G10" s="110"/>
    </row>
    <row r="11" spans="1:7" ht="15.75" customHeight="1">
      <c r="A11" s="17"/>
      <c r="B11" s="109" t="s">
        <v>51</v>
      </c>
      <c r="C11" s="36" t="s">
        <v>36</v>
      </c>
      <c r="D11" s="167"/>
      <c r="E11" s="111" t="s">
        <v>40</v>
      </c>
      <c r="F11" s="161"/>
      <c r="G11" s="110"/>
    </row>
    <row r="12" spans="1:7" ht="15.75" customHeight="1">
      <c r="A12" s="17"/>
      <c r="B12" s="109" t="s">
        <v>52</v>
      </c>
      <c r="C12" s="36" t="s">
        <v>35</v>
      </c>
      <c r="D12" s="4"/>
      <c r="E12" s="4"/>
      <c r="F12" s="4"/>
      <c r="G12" s="162">
        <v>0</v>
      </c>
    </row>
    <row r="13" spans="1:7" ht="15.75" customHeight="1">
      <c r="A13" s="108" t="s">
        <v>44</v>
      </c>
      <c r="B13" s="36" t="s">
        <v>37</v>
      </c>
      <c r="C13" s="4"/>
      <c r="D13" s="4"/>
      <c r="E13" s="4"/>
      <c r="F13" s="4"/>
      <c r="G13" s="163"/>
    </row>
    <row r="14" spans="1:7" ht="15.75" customHeight="1">
      <c r="A14" s="108" t="s">
        <v>45</v>
      </c>
      <c r="B14" s="36" t="s">
        <v>138</v>
      </c>
      <c r="C14" s="4"/>
      <c r="D14" s="4"/>
      <c r="E14" s="4"/>
      <c r="F14" s="4"/>
      <c r="G14" s="112"/>
    </row>
    <row r="15" spans="1:7" ht="15.75" customHeight="1">
      <c r="A15" s="113"/>
      <c r="B15" s="114" t="s">
        <v>50</v>
      </c>
      <c r="C15" s="36" t="s">
        <v>38</v>
      </c>
      <c r="D15" s="101"/>
      <c r="E15" s="22"/>
      <c r="F15" s="4"/>
      <c r="G15" s="163">
        <v>0</v>
      </c>
    </row>
    <row r="16" spans="1:7" ht="15.75" customHeight="1">
      <c r="A16" s="113"/>
      <c r="B16" s="114" t="s">
        <v>51</v>
      </c>
      <c r="C16" s="36" t="s">
        <v>139</v>
      </c>
      <c r="D16" s="115"/>
      <c r="E16" s="22"/>
      <c r="F16" s="4"/>
      <c r="G16" s="163">
        <v>0</v>
      </c>
    </row>
    <row r="17" spans="1:7" ht="15.75" customHeight="1">
      <c r="A17" s="113"/>
      <c r="B17" s="114" t="s">
        <v>52</v>
      </c>
      <c r="C17" s="36" t="s">
        <v>140</v>
      </c>
      <c r="D17" s="116"/>
      <c r="E17" s="24"/>
      <c r="F17" s="36"/>
      <c r="G17" s="163">
        <v>1778441</v>
      </c>
    </row>
    <row r="18" spans="1:7" ht="15.75" customHeight="1">
      <c r="A18" s="113"/>
      <c r="B18" s="114" t="s">
        <v>53</v>
      </c>
      <c r="C18" s="36" t="s">
        <v>21</v>
      </c>
      <c r="D18" s="4"/>
      <c r="E18" s="4"/>
      <c r="F18" s="4"/>
      <c r="G18" s="164">
        <v>0</v>
      </c>
    </row>
    <row r="19" spans="1:7" ht="15.75" customHeight="1">
      <c r="A19" s="17"/>
      <c r="B19" s="4"/>
      <c r="C19" s="4"/>
      <c r="D19" s="4"/>
      <c r="E19" s="4"/>
      <c r="F19" s="4"/>
      <c r="G19" s="110"/>
    </row>
    <row r="20" spans="1:7" ht="15.75" customHeight="1" thickBot="1">
      <c r="A20" s="19" t="s">
        <v>42</v>
      </c>
      <c r="B20" s="4"/>
      <c r="C20" s="4"/>
      <c r="D20" s="4"/>
      <c r="E20" s="4"/>
      <c r="F20" s="4"/>
      <c r="G20" s="117">
        <f>SUM(G12:G18)</f>
        <v>1778441</v>
      </c>
    </row>
    <row r="21" spans="1:7" ht="15.75" customHeight="1" thickTop="1">
      <c r="A21" s="21"/>
      <c r="B21" s="2"/>
      <c r="C21" s="2"/>
      <c r="D21" s="2"/>
      <c r="E21" s="2"/>
      <c r="F21" s="2"/>
      <c r="G21" s="59"/>
    </row>
    <row r="22" ht="15.75" customHeight="1"/>
    <row r="23" spans="1:7" ht="15.75" customHeight="1">
      <c r="A23" s="48" t="s">
        <v>54</v>
      </c>
      <c r="B23" s="106"/>
      <c r="C23" s="106"/>
      <c r="D23" s="106"/>
      <c r="E23" s="106"/>
      <c r="F23" s="106"/>
      <c r="G23" s="107"/>
    </row>
    <row r="24" spans="1:7" ht="15.75" customHeight="1">
      <c r="A24" s="19"/>
      <c r="B24" s="4"/>
      <c r="C24" s="4"/>
      <c r="D24" s="4"/>
      <c r="E24" s="4"/>
      <c r="F24" s="4"/>
      <c r="G24" s="20"/>
    </row>
    <row r="25" spans="1:9" ht="15.75" customHeight="1">
      <c r="A25" s="118" t="s">
        <v>67</v>
      </c>
      <c r="B25" s="4"/>
      <c r="C25" s="4"/>
      <c r="D25" s="4"/>
      <c r="E25" s="4"/>
      <c r="F25" s="4"/>
      <c r="G25" s="20"/>
      <c r="I25" s="5" t="s">
        <v>69</v>
      </c>
    </row>
    <row r="26" spans="1:9" ht="15.75" customHeight="1">
      <c r="A26" s="119" t="s">
        <v>43</v>
      </c>
      <c r="B26" s="4" t="s">
        <v>6</v>
      </c>
      <c r="C26" s="4"/>
      <c r="D26" s="4"/>
      <c r="E26" s="4"/>
      <c r="F26" s="4"/>
      <c r="G26" s="120">
        <f>'Table 1'!E9</f>
        <v>0</v>
      </c>
      <c r="I26" s="6">
        <f>G26-'Table 1'!E9</f>
        <v>0</v>
      </c>
    </row>
    <row r="27" spans="1:9" ht="15.75" customHeight="1">
      <c r="A27" s="119" t="s">
        <v>44</v>
      </c>
      <c r="B27" s="4" t="s">
        <v>7</v>
      </c>
      <c r="C27" s="4"/>
      <c r="D27" s="4"/>
      <c r="E27" s="4"/>
      <c r="F27" s="4"/>
      <c r="G27" s="121">
        <f>'Table 1'!E10</f>
        <v>1706441</v>
      </c>
      <c r="I27" s="6">
        <f>G27-'Table 1'!E10</f>
        <v>0</v>
      </c>
    </row>
    <row r="28" spans="1:9" ht="15.75" customHeight="1">
      <c r="A28" s="119" t="s">
        <v>45</v>
      </c>
      <c r="B28" s="4" t="s">
        <v>10</v>
      </c>
      <c r="C28" s="4"/>
      <c r="D28" s="4"/>
      <c r="E28" s="4"/>
      <c r="F28" s="4"/>
      <c r="G28" s="121">
        <f>'Table 1'!E11</f>
        <v>0</v>
      </c>
      <c r="I28" s="6">
        <f>G28-'Table 1'!E11</f>
        <v>0</v>
      </c>
    </row>
    <row r="29" spans="1:9" ht="15.75" customHeight="1">
      <c r="A29" s="119" t="s">
        <v>46</v>
      </c>
      <c r="B29" s="4" t="s">
        <v>11</v>
      </c>
      <c r="C29" s="4"/>
      <c r="D29" s="4"/>
      <c r="E29" s="4"/>
      <c r="F29" s="4"/>
      <c r="G29" s="121">
        <f>'Table 1'!E12</f>
        <v>0</v>
      </c>
      <c r="I29" s="6">
        <f>G29-'Table 1'!E12</f>
        <v>0</v>
      </c>
    </row>
    <row r="30" spans="1:9" ht="15.75" customHeight="1">
      <c r="A30" s="119" t="s">
        <v>47</v>
      </c>
      <c r="B30" s="4" t="s">
        <v>8</v>
      </c>
      <c r="C30" s="4"/>
      <c r="D30" s="4"/>
      <c r="E30" s="4"/>
      <c r="F30" s="4"/>
      <c r="G30" s="121">
        <f>'Table 1'!E13</f>
        <v>0</v>
      </c>
      <c r="I30" s="6">
        <f>G30-'Table 1'!E13</f>
        <v>0</v>
      </c>
    </row>
    <row r="31" spans="1:9" ht="15.75" customHeight="1">
      <c r="A31" s="119" t="s">
        <v>48</v>
      </c>
      <c r="B31" s="4" t="s">
        <v>9</v>
      </c>
      <c r="C31" s="4"/>
      <c r="D31" s="4"/>
      <c r="E31" s="4"/>
      <c r="F31" s="4"/>
      <c r="G31" s="121">
        <f>'Table 1'!E14</f>
        <v>0</v>
      </c>
      <c r="I31" s="6">
        <f>G31-'Table 1'!E14</f>
        <v>0</v>
      </c>
    </row>
    <row r="32" spans="1:9" ht="15.75" customHeight="1">
      <c r="A32" s="119" t="s">
        <v>49</v>
      </c>
      <c r="B32" s="4" t="s">
        <v>12</v>
      </c>
      <c r="C32" s="4"/>
      <c r="D32" s="4"/>
      <c r="E32" s="4"/>
      <c r="F32" s="4"/>
      <c r="G32" s="121">
        <f>'Table 1'!E15</f>
        <v>0</v>
      </c>
      <c r="I32" s="6">
        <f>G32-'Table 1'!E15</f>
        <v>0</v>
      </c>
    </row>
    <row r="33" spans="1:9" ht="15.75" customHeight="1">
      <c r="A33" s="119" t="s">
        <v>55</v>
      </c>
      <c r="B33" s="4" t="s">
        <v>15</v>
      </c>
      <c r="C33" s="4"/>
      <c r="D33" s="4"/>
      <c r="E33" s="4"/>
      <c r="F33" s="4"/>
      <c r="G33" s="121">
        <f>'Table 1'!E20</f>
        <v>0</v>
      </c>
      <c r="I33" s="6">
        <f>G33-'Table 1'!E20</f>
        <v>0</v>
      </c>
    </row>
    <row r="34" spans="1:9" ht="15.75" customHeight="1">
      <c r="A34" s="119" t="s">
        <v>56</v>
      </c>
      <c r="B34" s="4" t="s">
        <v>76</v>
      </c>
      <c r="C34" s="4"/>
      <c r="D34" s="4"/>
      <c r="E34" s="4"/>
      <c r="F34" s="4"/>
      <c r="G34" s="121">
        <f>'Table 1'!E21</f>
        <v>0</v>
      </c>
      <c r="I34" s="6">
        <f>G34-'Table 1'!E21</f>
        <v>0</v>
      </c>
    </row>
    <row r="35" spans="1:9" ht="15.75" customHeight="1">
      <c r="A35" s="119" t="s">
        <v>57</v>
      </c>
      <c r="B35" s="4" t="s">
        <v>16</v>
      </c>
      <c r="C35" s="4"/>
      <c r="D35" s="4"/>
      <c r="E35" s="4"/>
      <c r="F35" s="4"/>
      <c r="G35" s="121">
        <f>'Table 1'!E22</f>
        <v>60000</v>
      </c>
      <c r="I35" s="6">
        <f>G35-'Table 1'!E22</f>
        <v>0</v>
      </c>
    </row>
    <row r="36" spans="1:9" ht="15.75" customHeight="1">
      <c r="A36" s="119" t="s">
        <v>58</v>
      </c>
      <c r="B36" s="4" t="s">
        <v>17</v>
      </c>
      <c r="C36" s="4"/>
      <c r="D36" s="4"/>
      <c r="E36" s="4"/>
      <c r="F36" s="4"/>
      <c r="G36" s="121">
        <f>'Table 1'!E23</f>
        <v>0</v>
      </c>
      <c r="I36" s="6">
        <f>G36-'Table 1'!E23</f>
        <v>0</v>
      </c>
    </row>
    <row r="37" spans="1:9" ht="15.75" customHeight="1">
      <c r="A37" s="119" t="s">
        <v>59</v>
      </c>
      <c r="B37" s="4" t="s">
        <v>18</v>
      </c>
      <c r="C37" s="4"/>
      <c r="D37" s="4"/>
      <c r="E37" s="4"/>
      <c r="F37" s="4"/>
      <c r="G37" s="121">
        <f>'Table 1'!E24</f>
        <v>0</v>
      </c>
      <c r="I37" s="6">
        <f>G37-'Table 1'!E24</f>
        <v>0</v>
      </c>
    </row>
    <row r="38" spans="1:9" ht="15.75" customHeight="1">
      <c r="A38" s="119" t="s">
        <v>60</v>
      </c>
      <c r="B38" s="4" t="s">
        <v>19</v>
      </c>
      <c r="C38" s="4"/>
      <c r="D38" s="4"/>
      <c r="E38" s="4"/>
      <c r="F38" s="4"/>
      <c r="G38" s="121">
        <f>'Table 1'!E25</f>
        <v>12000</v>
      </c>
      <c r="I38" s="6">
        <f>G38-'Table 1'!E25</f>
        <v>0</v>
      </c>
    </row>
    <row r="39" spans="1:9" ht="15.75" customHeight="1">
      <c r="A39" s="119" t="s">
        <v>61</v>
      </c>
      <c r="B39" s="4" t="s">
        <v>20</v>
      </c>
      <c r="C39" s="4"/>
      <c r="D39" s="4"/>
      <c r="E39" s="4"/>
      <c r="F39" s="4"/>
      <c r="G39" s="121">
        <f>'Table 1'!E26</f>
        <v>0</v>
      </c>
      <c r="I39" s="6">
        <f>G39-'Table 1'!E26</f>
        <v>0</v>
      </c>
    </row>
    <row r="40" spans="1:9" ht="15.75" customHeight="1">
      <c r="A40" s="119" t="s">
        <v>63</v>
      </c>
      <c r="B40" s="4" t="s">
        <v>62</v>
      </c>
      <c r="C40" s="4"/>
      <c r="D40" s="4"/>
      <c r="E40" s="4"/>
      <c r="F40" s="4"/>
      <c r="G40" s="121">
        <f>'Table 1'!E27</f>
        <v>0</v>
      </c>
      <c r="I40" s="6">
        <f>G40-'Table 1'!E27</f>
        <v>0</v>
      </c>
    </row>
    <row r="41" spans="1:9" ht="15.75" customHeight="1">
      <c r="A41" s="119" t="s">
        <v>64</v>
      </c>
      <c r="B41" s="4" t="s">
        <v>38</v>
      </c>
      <c r="C41" s="4"/>
      <c r="D41" s="4"/>
      <c r="E41" s="4"/>
      <c r="F41" s="4"/>
      <c r="G41" s="121">
        <f>'Table 1'!E28</f>
        <v>0</v>
      </c>
      <c r="I41" s="6">
        <f>G41-'Table 1'!E28</f>
        <v>0</v>
      </c>
    </row>
    <row r="42" spans="1:9" ht="15.75" customHeight="1">
      <c r="A42" s="119" t="s">
        <v>65</v>
      </c>
      <c r="B42" s="4" t="s">
        <v>23</v>
      </c>
      <c r="C42" s="4"/>
      <c r="D42" s="4"/>
      <c r="E42" s="4"/>
      <c r="F42" s="4"/>
      <c r="G42" s="122">
        <f>'Table 1'!E16+'Table 1'!E29</f>
        <v>0</v>
      </c>
      <c r="I42" s="6">
        <f>G42-'Table 1'!E16-'Table 1'!E29</f>
        <v>0</v>
      </c>
    </row>
    <row r="43" spans="1:9" ht="15.75" customHeight="1">
      <c r="A43" s="17"/>
      <c r="B43" s="4"/>
      <c r="C43" s="4"/>
      <c r="D43" s="4"/>
      <c r="E43" s="4"/>
      <c r="F43" s="4"/>
      <c r="G43" s="20"/>
      <c r="I43" s="7"/>
    </row>
    <row r="44" spans="1:9" ht="15.75" customHeight="1" thickBot="1">
      <c r="A44" s="123" t="s">
        <v>66</v>
      </c>
      <c r="B44" s="4"/>
      <c r="C44" s="4"/>
      <c r="D44" s="4"/>
      <c r="E44" s="4"/>
      <c r="F44" s="4"/>
      <c r="G44" s="124">
        <f>SUM(G26:G42)</f>
        <v>1778441</v>
      </c>
      <c r="I44" s="8">
        <f>G44-G20</f>
        <v>0</v>
      </c>
    </row>
    <row r="45" spans="1:7" ht="15.75" customHeight="1" thickTop="1">
      <c r="A45" s="21"/>
      <c r="B45" s="2"/>
      <c r="C45" s="2"/>
      <c r="D45" s="2"/>
      <c r="E45" s="2"/>
      <c r="F45" s="2"/>
      <c r="G45" s="59"/>
    </row>
    <row r="46" ht="20.25" customHeight="1">
      <c r="A46" s="129" t="s">
        <v>68</v>
      </c>
    </row>
  </sheetData>
  <sheetProtection/>
  <mergeCells count="4">
    <mergeCell ref="A1:G1"/>
    <mergeCell ref="A2:G2"/>
    <mergeCell ref="A3:G3"/>
    <mergeCell ref="A4:G4"/>
  </mergeCells>
  <printOptions horizontalCentered="1"/>
  <pageMargins left="0.25" right="0.25" top="0.75" bottom="0.75" header="0.5" footer="0.5"/>
  <pageSetup fitToHeight="1" fitToWidth="1" horizontalDpi="600" verticalDpi="600" orientation="portrait" scale="97" r:id="rId1"/>
  <headerFooter alignWithMargins="0">
    <oddHeader>&amp;L&amp;"Arial,Italic"&amp;11NOTE: When completing this table make entries in the shaded fields only.</oddHeader>
    <oddFooter>&amp;L&amp;D
Health Care Administration&amp;R&amp;F,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tabSelected="1" zoomScale="85" zoomScaleNormal="85" zoomScalePageLayoutView="0" workbookViewId="0" topLeftCell="A1">
      <pane ySplit="9" topLeftCell="A10" activePane="bottomLeft" state="frozen"/>
      <selection pane="topLeft" activeCell="A1" sqref="A1"/>
      <selection pane="bottomLeft" activeCell="A10" sqref="A10:IV10"/>
    </sheetView>
  </sheetViews>
  <sheetFormatPr defaultColWidth="9.140625" defaultRowHeight="12.75"/>
  <cols>
    <col min="1" max="1" width="2.7109375" style="0" customWidth="1"/>
    <col min="2" max="2" width="32.8515625" style="0" customWidth="1"/>
    <col min="3" max="3" width="13.8515625" style="0" customWidth="1"/>
    <col min="4" max="4" width="1.8515625" style="0" customWidth="1"/>
    <col min="5" max="5" width="13.8515625" style="0" customWidth="1"/>
    <col min="6" max="6" width="1.8515625" style="0" customWidth="1"/>
    <col min="7" max="7" width="13.8515625" style="0" customWidth="1"/>
    <col min="8" max="8" width="1.8515625" style="0" customWidth="1"/>
    <col min="9" max="9" width="13.8515625" style="0" customWidth="1"/>
    <col min="10" max="10" width="1.8515625" style="0" customWidth="1"/>
    <col min="11" max="11" width="13.8515625" style="0" customWidth="1"/>
    <col min="15" max="15" width="14.28125" style="0" bestFit="1" customWidth="1"/>
    <col min="16" max="16" width="12.7109375" style="0" bestFit="1" customWidth="1"/>
  </cols>
  <sheetData>
    <row r="1" spans="1:11" ht="15.75">
      <c r="A1" s="190" t="str">
        <f>'Table 1'!A1</f>
        <v>50 Granview Dr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5.75">
      <c r="A2" s="190" t="str">
        <f>'Table 1'!A2</f>
        <v>WCMHS Infrastructure Improvement Project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ht="14.25">
      <c r="A3" s="193" t="s">
        <v>173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</row>
    <row r="4" spans="1:11" ht="14.25">
      <c r="A4" s="193" t="s">
        <v>77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</row>
    <row r="5" spans="1:11" ht="14.25">
      <c r="A5" s="193" t="s">
        <v>71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</row>
    <row r="6" ht="15.75" customHeight="1"/>
    <row r="7" spans="3:11" ht="15.75" customHeight="1">
      <c r="C7" s="1"/>
      <c r="D7" s="1"/>
      <c r="E7" s="13"/>
      <c r="F7" s="1"/>
      <c r="G7" s="13" t="s">
        <v>0</v>
      </c>
      <c r="H7" s="26"/>
      <c r="I7" s="13" t="s">
        <v>0</v>
      </c>
      <c r="J7" s="26"/>
      <c r="K7" s="13" t="s">
        <v>0</v>
      </c>
    </row>
    <row r="8" spans="3:11" ht="15.75" customHeight="1">
      <c r="C8" s="13" t="s">
        <v>70</v>
      </c>
      <c r="D8" s="29"/>
      <c r="E8" s="13" t="s">
        <v>179</v>
      </c>
      <c r="F8" s="29"/>
      <c r="G8" s="13" t="s">
        <v>1</v>
      </c>
      <c r="H8" s="29"/>
      <c r="I8" s="13" t="s">
        <v>2</v>
      </c>
      <c r="J8" s="29"/>
      <c r="K8" s="13" t="s">
        <v>3</v>
      </c>
    </row>
    <row r="9" spans="3:11" ht="15.75" customHeight="1">
      <c r="C9" s="168">
        <v>2023</v>
      </c>
      <c r="D9" s="30"/>
      <c r="E9" s="14">
        <f>C9+1</f>
        <v>2024</v>
      </c>
      <c r="F9" s="30"/>
      <c r="G9" s="14">
        <f>E9+1</f>
        <v>2025</v>
      </c>
      <c r="H9" s="30"/>
      <c r="I9" s="14">
        <f>G9+1</f>
        <v>2026</v>
      </c>
      <c r="J9" s="30"/>
      <c r="K9" s="14">
        <f>I9+1</f>
        <v>2027</v>
      </c>
    </row>
    <row r="10" spans="1:12" ht="15.75" customHeight="1">
      <c r="A10" s="1" t="s">
        <v>78</v>
      </c>
      <c r="D10" s="26"/>
      <c r="F10" s="26"/>
      <c r="H10" s="26"/>
      <c r="J10" s="26"/>
      <c r="L10" s="195"/>
    </row>
    <row r="11" spans="2:12" ht="15.75" customHeight="1">
      <c r="B11" s="25" t="s">
        <v>218</v>
      </c>
      <c r="C11" s="169">
        <v>60714124</v>
      </c>
      <c r="D11" s="170"/>
      <c r="E11" s="169">
        <v>63515593</v>
      </c>
      <c r="F11" s="170"/>
      <c r="G11" s="171">
        <f>E11*1.02</f>
        <v>64785904.86</v>
      </c>
      <c r="H11" s="170"/>
      <c r="I11" s="171">
        <f>G11*1.02</f>
        <v>66081622.9572</v>
      </c>
      <c r="J11" s="171">
        <f aca="true" t="shared" si="0" ref="J11:K15">H11*1.02</f>
        <v>0</v>
      </c>
      <c r="K11" s="171">
        <f t="shared" si="0"/>
        <v>67403255.416344</v>
      </c>
      <c r="L11" s="195"/>
    </row>
    <row r="12" spans="2:12" ht="15.75" customHeight="1">
      <c r="B12" s="25" t="s">
        <v>219</v>
      </c>
      <c r="C12" s="171">
        <v>4732209</v>
      </c>
      <c r="D12" s="170"/>
      <c r="E12" s="171">
        <v>4185533</v>
      </c>
      <c r="F12" s="170"/>
      <c r="G12" s="171">
        <f>E12*1.02</f>
        <v>4269243.66</v>
      </c>
      <c r="H12" s="170"/>
      <c r="I12" s="171">
        <f>G12*1.02</f>
        <v>4354628.5332</v>
      </c>
      <c r="J12" s="170"/>
      <c r="K12" s="171">
        <f t="shared" si="0"/>
        <v>4441721.103864</v>
      </c>
      <c r="L12" s="195"/>
    </row>
    <row r="13" spans="2:12" ht="15.75" customHeight="1">
      <c r="B13" s="25"/>
      <c r="C13" s="171"/>
      <c r="D13" s="170"/>
      <c r="E13" s="171"/>
      <c r="F13" s="170"/>
      <c r="G13" s="171"/>
      <c r="H13" s="170"/>
      <c r="I13" s="171"/>
      <c r="J13" s="170"/>
      <c r="K13" s="171"/>
      <c r="L13" s="195"/>
    </row>
    <row r="14" spans="2:11" ht="15.75" customHeight="1">
      <c r="B14" s="25"/>
      <c r="C14" s="171">
        <v>0</v>
      </c>
      <c r="D14" s="170"/>
      <c r="E14" s="171">
        <v>0</v>
      </c>
      <c r="F14" s="170"/>
      <c r="G14" s="171">
        <f>E14*1.02</f>
        <v>0</v>
      </c>
      <c r="H14" s="170"/>
      <c r="I14" s="171">
        <f>G14*1.02</f>
        <v>0</v>
      </c>
      <c r="J14" s="170"/>
      <c r="K14" s="171">
        <f t="shared" si="0"/>
        <v>0</v>
      </c>
    </row>
    <row r="15" spans="2:11" ht="15.75" customHeight="1">
      <c r="B15" s="25"/>
      <c r="C15" s="172">
        <v>0</v>
      </c>
      <c r="D15" s="173"/>
      <c r="E15" s="172">
        <v>0</v>
      </c>
      <c r="F15" s="173"/>
      <c r="G15" s="172">
        <f>E15*1.02</f>
        <v>0</v>
      </c>
      <c r="H15" s="173"/>
      <c r="I15" s="172">
        <f>G15*1.02</f>
        <v>0</v>
      </c>
      <c r="J15" s="173"/>
      <c r="K15" s="172">
        <f t="shared" si="0"/>
        <v>0</v>
      </c>
    </row>
    <row r="16" spans="2:11" ht="15.75" customHeight="1">
      <c r="B16" s="26"/>
      <c r="C16" s="31"/>
      <c r="D16" s="28"/>
      <c r="E16" s="31"/>
      <c r="F16" s="28"/>
      <c r="G16" s="31"/>
      <c r="H16" s="28"/>
      <c r="I16" s="31"/>
      <c r="J16" s="28"/>
      <c r="K16" s="31"/>
    </row>
    <row r="17" spans="1:11" ht="15.75" customHeight="1">
      <c r="A17" s="1" t="s">
        <v>79</v>
      </c>
      <c r="C17" s="3">
        <f>SUM(C11:C15)</f>
        <v>65446333</v>
      </c>
      <c r="D17" s="15"/>
      <c r="E17" s="3">
        <f>SUM(E11:E15)</f>
        <v>67701126</v>
      </c>
      <c r="F17" s="15"/>
      <c r="G17" s="3">
        <f>SUM(G11:G15)</f>
        <v>69055148.52</v>
      </c>
      <c r="H17" s="15"/>
      <c r="I17" s="3">
        <f>SUM(I11:I15)</f>
        <v>70436251.4904</v>
      </c>
      <c r="J17" s="15"/>
      <c r="K17" s="3">
        <f>SUM(K11:K15)</f>
        <v>71844976.520208</v>
      </c>
    </row>
    <row r="18" spans="2:11" ht="15.75" customHeight="1">
      <c r="B18" s="26"/>
      <c r="C18" s="26"/>
      <c r="D18" s="26"/>
      <c r="E18" s="26"/>
      <c r="F18" s="26"/>
      <c r="G18" s="26"/>
      <c r="H18" s="26"/>
      <c r="I18" s="26"/>
      <c r="J18" s="26"/>
      <c r="K18" s="26"/>
    </row>
    <row r="19" spans="1:11" ht="15.75" customHeight="1">
      <c r="A19" s="26"/>
      <c r="B19" s="25" t="s">
        <v>80</v>
      </c>
      <c r="C19" s="169">
        <v>0</v>
      </c>
      <c r="D19" s="170"/>
      <c r="E19" s="169">
        <v>0</v>
      </c>
      <c r="F19" s="170"/>
      <c r="G19" s="169">
        <v>0</v>
      </c>
      <c r="H19" s="170"/>
      <c r="I19" s="169">
        <v>0</v>
      </c>
      <c r="J19" s="170"/>
      <c r="K19" s="169">
        <v>0</v>
      </c>
    </row>
    <row r="20" spans="1:11" ht="15.75" customHeight="1">
      <c r="A20" s="26"/>
      <c r="B20" s="25" t="s">
        <v>81</v>
      </c>
      <c r="C20" s="171">
        <v>0</v>
      </c>
      <c r="D20" s="170"/>
      <c r="E20" s="171">
        <v>0</v>
      </c>
      <c r="F20" s="170"/>
      <c r="G20" s="171">
        <v>0</v>
      </c>
      <c r="H20" s="170"/>
      <c r="I20" s="171">
        <v>0</v>
      </c>
      <c r="J20" s="170"/>
      <c r="K20" s="171">
        <v>0</v>
      </c>
    </row>
    <row r="21" spans="1:11" ht="15.75" customHeight="1">
      <c r="A21" s="26"/>
      <c r="B21" s="25" t="s">
        <v>72</v>
      </c>
      <c r="C21" s="172">
        <v>0</v>
      </c>
      <c r="D21" s="173"/>
      <c r="E21" s="172">
        <v>0</v>
      </c>
      <c r="F21" s="173"/>
      <c r="G21" s="172">
        <v>0</v>
      </c>
      <c r="H21" s="173"/>
      <c r="I21" s="172">
        <v>0</v>
      </c>
      <c r="J21" s="173"/>
      <c r="K21" s="172">
        <v>0</v>
      </c>
    </row>
    <row r="22" spans="1:11" ht="15.75" customHeight="1">
      <c r="A22" s="26"/>
      <c r="B22" s="26"/>
      <c r="C22" s="11"/>
      <c r="D22" s="15"/>
      <c r="E22" s="11"/>
      <c r="F22" s="15"/>
      <c r="G22" s="11"/>
      <c r="H22" s="15"/>
      <c r="I22" s="11"/>
      <c r="J22" s="15"/>
      <c r="K22" s="11"/>
    </row>
    <row r="23" spans="1:11" ht="15.75" customHeight="1">
      <c r="A23" s="1" t="s">
        <v>82</v>
      </c>
      <c r="B23" s="26"/>
      <c r="C23" s="10">
        <f>SUM(C17:C21)</f>
        <v>65446333</v>
      </c>
      <c r="D23" s="15"/>
      <c r="E23" s="10">
        <f>SUM(E17:E21)</f>
        <v>67701126</v>
      </c>
      <c r="F23" s="15"/>
      <c r="G23" s="10">
        <f>SUM(G17:G21)</f>
        <v>69055148.52</v>
      </c>
      <c r="H23" s="15"/>
      <c r="I23" s="10">
        <f>SUM(I17:I21)</f>
        <v>70436251.4904</v>
      </c>
      <c r="J23" s="15"/>
      <c r="K23" s="10">
        <f>SUM(K17:K21)</f>
        <v>71844976.520208</v>
      </c>
    </row>
    <row r="24" spans="1:11" ht="15.75" customHeight="1">
      <c r="A24" s="26"/>
      <c r="B24" s="26"/>
      <c r="C24" s="11"/>
      <c r="D24" s="15"/>
      <c r="E24" s="11"/>
      <c r="F24" s="15"/>
      <c r="G24" s="11"/>
      <c r="H24" s="15"/>
      <c r="I24" s="11"/>
      <c r="J24" s="15"/>
      <c r="K24" s="11"/>
    </row>
    <row r="25" spans="2:11" ht="15.75" customHeight="1">
      <c r="B25" s="25" t="s">
        <v>220</v>
      </c>
      <c r="C25" s="171">
        <v>1758828</v>
      </c>
      <c r="D25" s="170"/>
      <c r="E25" s="171">
        <v>740217</v>
      </c>
      <c r="F25" s="170"/>
      <c r="G25" s="171">
        <f>E25*1.02</f>
        <v>755021.34</v>
      </c>
      <c r="H25" s="170"/>
      <c r="I25" s="171">
        <f>G25*1.02</f>
        <v>770121.7668</v>
      </c>
      <c r="J25" s="170"/>
      <c r="K25" s="171">
        <f>I25*1.02</f>
        <v>785524.202136</v>
      </c>
    </row>
    <row r="26" spans="1:11" ht="15.75" customHeight="1">
      <c r="A26" s="26"/>
      <c r="B26" s="26"/>
      <c r="C26" s="10"/>
      <c r="D26" s="15"/>
      <c r="E26" s="10"/>
      <c r="F26" s="15"/>
      <c r="G26" s="10"/>
      <c r="H26" s="15"/>
      <c r="I26" s="10"/>
      <c r="J26" s="15"/>
      <c r="K26" s="10"/>
    </row>
    <row r="27" spans="1:11" ht="15.75" customHeight="1">
      <c r="A27" s="1" t="s">
        <v>83</v>
      </c>
      <c r="B27" s="26"/>
      <c r="C27" s="32">
        <f>C23+C25</f>
        <v>67205161</v>
      </c>
      <c r="D27" s="16"/>
      <c r="E27" s="32">
        <f>E23+E25</f>
        <v>68441343</v>
      </c>
      <c r="F27" s="16"/>
      <c r="G27" s="32">
        <f>G23+G25</f>
        <v>69810169.86</v>
      </c>
      <c r="H27" s="16"/>
      <c r="I27" s="32">
        <f>I23+I25</f>
        <v>71206373.2572</v>
      </c>
      <c r="J27" s="16"/>
      <c r="K27" s="32">
        <f>K23+K25</f>
        <v>72630500.722344</v>
      </c>
    </row>
    <row r="28" spans="1:12" ht="15.7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</row>
    <row r="29" spans="1:11" ht="15.75" customHeight="1">
      <c r="A29" s="1" t="s">
        <v>84</v>
      </c>
      <c r="B29" s="26"/>
      <c r="C29" s="10"/>
      <c r="D29" s="15"/>
      <c r="E29" s="10"/>
      <c r="F29" s="15"/>
      <c r="G29" s="10"/>
      <c r="H29" s="15"/>
      <c r="I29" s="10"/>
      <c r="J29" s="15"/>
      <c r="K29" s="10"/>
    </row>
    <row r="30" spans="1:11" ht="15.75" customHeight="1">
      <c r="A30" s="26"/>
      <c r="B30" s="25" t="s">
        <v>85</v>
      </c>
      <c r="C30" s="169">
        <f>33121156-683832</f>
        <v>32437324</v>
      </c>
      <c r="D30" s="170"/>
      <c r="E30" s="169">
        <f>36636511-697788</f>
        <v>35938723</v>
      </c>
      <c r="F30" s="170"/>
      <c r="G30" s="169">
        <f>E30*1.02</f>
        <v>36657497.46</v>
      </c>
      <c r="H30" s="169">
        <f aca="true" t="shared" si="1" ref="H30:I36">F30*1.02</f>
        <v>0</v>
      </c>
      <c r="I30" s="169">
        <f t="shared" si="1"/>
        <v>37390647.409200005</v>
      </c>
      <c r="J30" s="169">
        <f>H30*1.02</f>
        <v>0</v>
      </c>
      <c r="K30" s="169">
        <f aca="true" t="shared" si="2" ref="K30:K36">I30*1.02</f>
        <v>38138460.357384</v>
      </c>
    </row>
    <row r="31" spans="1:16" ht="15.75" customHeight="1">
      <c r="A31" s="26"/>
      <c r="B31" s="25" t="s">
        <v>86</v>
      </c>
      <c r="C31" s="171">
        <f>11111447-229411</f>
        <v>10882036</v>
      </c>
      <c r="D31" s="170"/>
      <c r="E31" s="171">
        <f>13243713-251204</f>
        <v>12992509</v>
      </c>
      <c r="F31" s="170"/>
      <c r="G31" s="169">
        <f aca="true" t="shared" si="3" ref="G31:G36">E31*1.02</f>
        <v>13252359.18</v>
      </c>
      <c r="H31" s="170"/>
      <c r="I31" s="169">
        <f t="shared" si="1"/>
        <v>13517406.3636</v>
      </c>
      <c r="J31" s="170"/>
      <c r="K31" s="169">
        <f t="shared" si="2"/>
        <v>13787754.490872001</v>
      </c>
      <c r="O31" s="1"/>
      <c r="P31" s="1"/>
    </row>
    <row r="32" spans="1:16" ht="15.75" customHeight="1">
      <c r="A32" s="26"/>
      <c r="B32" s="25" t="s">
        <v>87</v>
      </c>
      <c r="C32" s="171">
        <f>683832.24*1.335</f>
        <v>912916.0403999999</v>
      </c>
      <c r="D32" s="170"/>
      <c r="E32" s="171">
        <f>697788*1.36</f>
        <v>948991.68</v>
      </c>
      <c r="F32" s="170"/>
      <c r="G32" s="169">
        <f t="shared" si="3"/>
        <v>967971.5136000001</v>
      </c>
      <c r="H32" s="170"/>
      <c r="I32" s="169">
        <f t="shared" si="1"/>
        <v>987330.9438720001</v>
      </c>
      <c r="J32" s="170"/>
      <c r="K32" s="169">
        <f t="shared" si="2"/>
        <v>1007077.5627494401</v>
      </c>
      <c r="O32" s="184"/>
      <c r="P32" s="184"/>
    </row>
    <row r="33" spans="1:16" ht="15.75" customHeight="1">
      <c r="A33" s="26"/>
      <c r="B33" s="25" t="s">
        <v>88</v>
      </c>
      <c r="C33" s="171"/>
      <c r="D33" s="170"/>
      <c r="E33" s="171"/>
      <c r="F33" s="170"/>
      <c r="G33" s="169">
        <f t="shared" si="3"/>
        <v>0</v>
      </c>
      <c r="H33" s="170"/>
      <c r="I33" s="169">
        <f t="shared" si="1"/>
        <v>0</v>
      </c>
      <c r="J33" s="170"/>
      <c r="K33" s="169">
        <f t="shared" si="2"/>
        <v>0</v>
      </c>
      <c r="O33" s="184"/>
      <c r="P33" s="184"/>
    </row>
    <row r="34" spans="1:11" ht="15.75" customHeight="1">
      <c r="A34" s="26"/>
      <c r="B34" s="25" t="s">
        <v>89</v>
      </c>
      <c r="C34" s="171">
        <v>1237179</v>
      </c>
      <c r="D34" s="170"/>
      <c r="E34" s="171">
        <v>1485205</v>
      </c>
      <c r="F34" s="170"/>
      <c r="G34" s="169">
        <f t="shared" si="3"/>
        <v>1514909.1</v>
      </c>
      <c r="H34" s="170"/>
      <c r="I34" s="169">
        <f t="shared" si="1"/>
        <v>1545207.2820000001</v>
      </c>
      <c r="J34" s="170"/>
      <c r="K34" s="169">
        <f t="shared" si="2"/>
        <v>1576111.4276400001</v>
      </c>
    </row>
    <row r="35" spans="1:11" ht="15.75" customHeight="1">
      <c r="A35" s="26"/>
      <c r="B35" s="25" t="s">
        <v>90</v>
      </c>
      <c r="C35" s="171">
        <v>103184</v>
      </c>
      <c r="D35" s="170"/>
      <c r="E35" s="171">
        <v>131773</v>
      </c>
      <c r="F35" s="170"/>
      <c r="G35" s="169">
        <f>E35*0.99</f>
        <v>130455.27</v>
      </c>
      <c r="H35" s="170"/>
      <c r="I35" s="169">
        <f>G35*0.99</f>
        <v>129150.7173</v>
      </c>
      <c r="J35" s="170"/>
      <c r="K35" s="169">
        <f>I35*0.99</f>
        <v>127859.210127</v>
      </c>
    </row>
    <row r="36" spans="1:11" ht="15.75" customHeight="1">
      <c r="A36" s="26"/>
      <c r="B36" s="25" t="s">
        <v>91</v>
      </c>
      <c r="C36" s="172">
        <f>65836185-SUM(C30:C35)</f>
        <v>20263545.9596</v>
      </c>
      <c r="D36" s="173"/>
      <c r="E36" s="172">
        <f>69000442-SUM(E30:E35)</f>
        <v>17503240.32</v>
      </c>
      <c r="F36" s="173"/>
      <c r="G36" s="169">
        <f t="shared" si="3"/>
        <v>17853305.1264</v>
      </c>
      <c r="H36" s="173"/>
      <c r="I36" s="169">
        <f t="shared" si="1"/>
        <v>18210371.228928003</v>
      </c>
      <c r="J36" s="173"/>
      <c r="K36" s="169">
        <f t="shared" si="2"/>
        <v>18574578.653506562</v>
      </c>
    </row>
    <row r="37" spans="1:10" ht="15.75" customHeight="1">
      <c r="A37" s="26"/>
      <c r="B37" s="26"/>
      <c r="D37" s="26"/>
      <c r="F37" s="26"/>
      <c r="H37" s="26"/>
      <c r="J37" s="26"/>
    </row>
    <row r="38" spans="1:11" ht="15.75" customHeight="1">
      <c r="A38" s="1" t="s">
        <v>92</v>
      </c>
      <c r="B38" s="26"/>
      <c r="C38" s="32">
        <f>SUM(C30:C36)</f>
        <v>65836185</v>
      </c>
      <c r="D38" s="16"/>
      <c r="E38" s="32">
        <f>SUM(E30:E36)</f>
        <v>69000442</v>
      </c>
      <c r="F38" s="16"/>
      <c r="G38" s="32">
        <f>SUM(G30:G36)</f>
        <v>70376497.65</v>
      </c>
      <c r="H38" s="16"/>
      <c r="I38" s="32">
        <f>SUM(I30:I36)</f>
        <v>71780113.9449</v>
      </c>
      <c r="J38" s="16"/>
      <c r="K38" s="32">
        <f>SUM(K30:K36)</f>
        <v>73211841.702279</v>
      </c>
    </row>
    <row r="39" spans="1:11" ht="15.75" customHeight="1">
      <c r="A39" s="26"/>
      <c r="B39" s="26"/>
      <c r="C39" s="9"/>
      <c r="D39" s="15"/>
      <c r="E39" s="9"/>
      <c r="F39" s="15"/>
      <c r="G39" s="9"/>
      <c r="H39" s="15"/>
      <c r="I39" s="9"/>
      <c r="J39" s="15"/>
      <c r="K39" s="9"/>
    </row>
    <row r="40" spans="1:11" ht="15.75" customHeight="1">
      <c r="A40" s="1" t="s">
        <v>93</v>
      </c>
      <c r="B40" s="26"/>
      <c r="C40" s="10">
        <f>C27-C38</f>
        <v>1368976</v>
      </c>
      <c r="D40" s="15"/>
      <c r="E40" s="10">
        <f>E27-E38</f>
        <v>-559099</v>
      </c>
      <c r="F40" s="15"/>
      <c r="G40" s="10">
        <f>G27-G38</f>
        <v>-566327.7900000066</v>
      </c>
      <c r="H40" s="15"/>
      <c r="I40" s="10">
        <f>I27-I38</f>
        <v>-573740.6877000034</v>
      </c>
      <c r="J40" s="15"/>
      <c r="K40" s="10">
        <f>K27-K38</f>
        <v>-581340.9799350053</v>
      </c>
    </row>
    <row r="41" spans="1:11" ht="15.75" customHeight="1">
      <c r="A41" s="26"/>
      <c r="B41" s="26"/>
      <c r="C41" s="9"/>
      <c r="D41" s="15"/>
      <c r="E41" s="9"/>
      <c r="F41" s="15"/>
      <c r="G41" s="9"/>
      <c r="H41" s="15"/>
      <c r="I41" s="9"/>
      <c r="J41" s="15"/>
      <c r="K41" s="9"/>
    </row>
    <row r="42" spans="2:11" ht="15.75" customHeight="1">
      <c r="B42" s="25" t="s">
        <v>94</v>
      </c>
      <c r="C42" s="172"/>
      <c r="D42" s="173"/>
      <c r="E42" s="172"/>
      <c r="F42" s="173"/>
      <c r="G42" s="172"/>
      <c r="H42" s="173"/>
      <c r="I42" s="172"/>
      <c r="J42" s="173"/>
      <c r="K42" s="172"/>
    </row>
    <row r="43" spans="1:11" ht="15.75" customHeight="1">
      <c r="A43" s="26"/>
      <c r="B43" s="26"/>
      <c r="C43" s="27"/>
      <c r="D43" s="28"/>
      <c r="E43" s="27"/>
      <c r="F43" s="28"/>
      <c r="G43" s="27"/>
      <c r="H43" s="28"/>
      <c r="I43" s="27"/>
      <c r="J43" s="28"/>
      <c r="K43" s="27"/>
    </row>
    <row r="44" spans="1:11" ht="15.75" customHeight="1" thickBot="1">
      <c r="A44" s="1" t="s">
        <v>95</v>
      </c>
      <c r="B44" s="26"/>
      <c r="C44" s="33">
        <f>C40+C42</f>
        <v>1368976</v>
      </c>
      <c r="D44" s="34"/>
      <c r="E44" s="33">
        <f>E40+E42</f>
        <v>-559099</v>
      </c>
      <c r="F44" s="34"/>
      <c r="G44" s="33">
        <f>G40+G42</f>
        <v>-566327.7900000066</v>
      </c>
      <c r="H44" s="34"/>
      <c r="I44" s="33">
        <f>I40+I42</f>
        <v>-573740.6877000034</v>
      </c>
      <c r="J44" s="34"/>
      <c r="K44" s="33">
        <f>K40+K42</f>
        <v>-581340.9799350053</v>
      </c>
    </row>
    <row r="45" spans="1:10" ht="15.75" customHeight="1" thickTop="1">
      <c r="A45" s="26"/>
      <c r="B45" s="26"/>
      <c r="D45" s="26"/>
      <c r="F45" s="26"/>
      <c r="H45" s="26"/>
      <c r="J45" s="26"/>
    </row>
    <row r="46" spans="1:10" ht="15.75" customHeight="1">
      <c r="A46" s="26"/>
      <c r="B46" s="26"/>
      <c r="F46" s="26"/>
      <c r="H46" s="26"/>
      <c r="J46" s="26"/>
    </row>
    <row r="47" spans="1:10" ht="15.75" customHeight="1">
      <c r="A47" s="26" t="s">
        <v>73</v>
      </c>
      <c r="B47" s="26"/>
      <c r="F47" s="26"/>
      <c r="H47" s="26"/>
      <c r="J47" s="26"/>
    </row>
    <row r="48" spans="1:10" ht="12.75">
      <c r="A48" s="26"/>
      <c r="B48" s="26"/>
      <c r="F48" s="26"/>
      <c r="H48" s="26"/>
      <c r="J48" s="26"/>
    </row>
    <row r="49" ht="12.75">
      <c r="H49" s="26"/>
    </row>
    <row r="50" ht="12.75">
      <c r="H50" s="26"/>
    </row>
  </sheetData>
  <sheetProtection/>
  <mergeCells count="5">
    <mergeCell ref="A5:K5"/>
    <mergeCell ref="A1:K1"/>
    <mergeCell ref="A2:K2"/>
    <mergeCell ref="A3:K3"/>
    <mergeCell ref="A4:K4"/>
  </mergeCells>
  <printOptions horizontalCentered="1"/>
  <pageMargins left="0.25" right="0.25" top="0.75" bottom="0.75" header="0.5" footer="0.5"/>
  <pageSetup fitToHeight="1" fitToWidth="1" horizontalDpi="600" verticalDpi="600" orientation="portrait" scale="92" r:id="rId1"/>
  <headerFooter alignWithMargins="0">
    <oddHeader>&amp;L&amp;"Arial,Italic"&amp;11NOTE: When completing this table make entries in the shaded fields only.</oddHeader>
    <oddFooter>&amp;L&amp;D
Health Care Administration&amp;R&amp;F,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zoomScale="85" zoomScaleNormal="85" zoomScalePageLayoutView="0" workbookViewId="0" topLeftCell="A1">
      <pane ySplit="9" topLeftCell="A19" activePane="bottomLeft" state="frozen"/>
      <selection pane="topLeft" activeCell="A1" sqref="A1"/>
      <selection pane="bottomLeft" activeCell="A10" sqref="A10:IV10"/>
    </sheetView>
  </sheetViews>
  <sheetFormatPr defaultColWidth="9.140625" defaultRowHeight="12.75"/>
  <cols>
    <col min="1" max="1" width="2.7109375" style="0" customWidth="1"/>
    <col min="2" max="2" width="32.8515625" style="0" customWidth="1"/>
    <col min="3" max="3" width="13.8515625" style="0" customWidth="1"/>
    <col min="4" max="4" width="1.8515625" style="0" customWidth="1"/>
    <col min="5" max="5" width="13.8515625" style="0" customWidth="1"/>
    <col min="6" max="6" width="1.8515625" style="0" customWidth="1"/>
    <col min="7" max="7" width="13.8515625" style="0" customWidth="1"/>
    <col min="8" max="8" width="1.8515625" style="0" customWidth="1"/>
    <col min="9" max="9" width="13.8515625" style="0" customWidth="1"/>
    <col min="10" max="10" width="1.8515625" style="0" customWidth="1"/>
    <col min="11" max="11" width="13.8515625" style="0" customWidth="1"/>
  </cols>
  <sheetData>
    <row r="1" spans="1:11" ht="15.75">
      <c r="A1" s="190" t="str">
        <f>'Table 1'!A1</f>
        <v>50 Granview Dr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5.75">
      <c r="A2" s="190" t="str">
        <f>'Table 1'!A2</f>
        <v>WCMHS Infrastructure Improvement Project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ht="14.25">
      <c r="A3" s="193" t="s">
        <v>174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</row>
    <row r="4" spans="1:11" ht="14.25">
      <c r="A4" s="193" t="s">
        <v>77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</row>
    <row r="5" spans="1:11" ht="14.25">
      <c r="A5" s="193" t="s">
        <v>74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</row>
    <row r="6" ht="15.75" customHeight="1"/>
    <row r="7" spans="3:11" ht="15.75" customHeight="1">
      <c r="C7" s="1"/>
      <c r="D7" s="1"/>
      <c r="E7" s="13"/>
      <c r="F7" s="1"/>
      <c r="G7" s="13" t="s">
        <v>0</v>
      </c>
      <c r="H7" s="26"/>
      <c r="I7" s="13" t="s">
        <v>0</v>
      </c>
      <c r="J7" s="26"/>
      <c r="K7" s="13" t="s">
        <v>0</v>
      </c>
    </row>
    <row r="8" spans="3:11" ht="15.75" customHeight="1">
      <c r="C8" s="13" t="s">
        <v>70</v>
      </c>
      <c r="D8" s="29"/>
      <c r="E8" s="13" t="s">
        <v>179</v>
      </c>
      <c r="F8" s="29"/>
      <c r="G8" s="13" t="s">
        <v>1</v>
      </c>
      <c r="H8" s="29"/>
      <c r="I8" s="13" t="s">
        <v>2</v>
      </c>
      <c r="J8" s="29"/>
      <c r="K8" s="13" t="s">
        <v>3</v>
      </c>
    </row>
    <row r="9" spans="3:11" ht="15.75" customHeight="1">
      <c r="C9" s="14">
        <f>'Table 3A'!C9</f>
        <v>2023</v>
      </c>
      <c r="D9" s="30"/>
      <c r="E9" s="14">
        <f>C9+1</f>
        <v>2024</v>
      </c>
      <c r="F9" s="30"/>
      <c r="G9" s="14">
        <f>E9+1</f>
        <v>2025</v>
      </c>
      <c r="H9" s="30"/>
      <c r="I9" s="14">
        <f>G9+1</f>
        <v>2026</v>
      </c>
      <c r="J9" s="30"/>
      <c r="K9" s="14">
        <f>I9+1</f>
        <v>2027</v>
      </c>
    </row>
    <row r="10" spans="1:10" ht="15.75" customHeight="1">
      <c r="A10" s="1" t="s">
        <v>78</v>
      </c>
      <c r="D10" s="26"/>
      <c r="F10" s="26"/>
      <c r="H10" s="26"/>
      <c r="J10" s="26"/>
    </row>
    <row r="11" spans="2:11" ht="15.75" customHeight="1">
      <c r="B11" s="25" t="s">
        <v>218</v>
      </c>
      <c r="C11" s="132"/>
      <c r="D11" s="15"/>
      <c r="E11" s="169">
        <v>0</v>
      </c>
      <c r="F11" s="170"/>
      <c r="G11" s="169">
        <v>0</v>
      </c>
      <c r="H11" s="170"/>
      <c r="I11" s="169">
        <v>0</v>
      </c>
      <c r="J11" s="170"/>
      <c r="K11" s="169">
        <v>0</v>
      </c>
    </row>
    <row r="12" spans="2:11" ht="15.75" customHeight="1">
      <c r="B12" s="25" t="s">
        <v>219</v>
      </c>
      <c r="C12" s="132"/>
      <c r="D12" s="15"/>
      <c r="E12" s="171">
        <v>0</v>
      </c>
      <c r="F12" s="170"/>
      <c r="G12" s="171">
        <v>0</v>
      </c>
      <c r="H12" s="170"/>
      <c r="I12" s="171">
        <v>0</v>
      </c>
      <c r="J12" s="170"/>
      <c r="K12" s="171">
        <v>0</v>
      </c>
    </row>
    <row r="13" spans="2:11" ht="15.75" customHeight="1">
      <c r="B13" s="25"/>
      <c r="C13" s="132"/>
      <c r="D13" s="15"/>
      <c r="E13" s="171">
        <v>0</v>
      </c>
      <c r="F13" s="170"/>
      <c r="G13" s="171">
        <v>0</v>
      </c>
      <c r="H13" s="170"/>
      <c r="I13" s="171">
        <v>0</v>
      </c>
      <c r="J13" s="170"/>
      <c r="K13" s="171">
        <v>0</v>
      </c>
    </row>
    <row r="14" spans="2:11" ht="15.75" customHeight="1">
      <c r="B14" s="25"/>
      <c r="C14" s="132"/>
      <c r="D14" s="15"/>
      <c r="E14" s="171">
        <v>0</v>
      </c>
      <c r="F14" s="170"/>
      <c r="G14" s="171">
        <v>0</v>
      </c>
      <c r="H14" s="170"/>
      <c r="I14" s="171">
        <v>0</v>
      </c>
      <c r="J14" s="170"/>
      <c r="K14" s="171">
        <v>0</v>
      </c>
    </row>
    <row r="15" spans="2:11" ht="15.75" customHeight="1">
      <c r="B15" s="25"/>
      <c r="C15" s="141"/>
      <c r="D15" s="16"/>
      <c r="E15" s="172">
        <v>0</v>
      </c>
      <c r="F15" s="173"/>
      <c r="G15" s="172">
        <v>0</v>
      </c>
      <c r="H15" s="173"/>
      <c r="I15" s="172">
        <v>0</v>
      </c>
      <c r="J15" s="173"/>
      <c r="K15" s="172">
        <v>0</v>
      </c>
    </row>
    <row r="16" spans="2:11" ht="15.75" customHeight="1">
      <c r="B16" s="26"/>
      <c r="C16" s="31"/>
      <c r="D16" s="28"/>
      <c r="E16" s="31"/>
      <c r="F16" s="28"/>
      <c r="G16" s="31"/>
      <c r="H16" s="28"/>
      <c r="I16" s="31"/>
      <c r="J16" s="28"/>
      <c r="K16" s="31"/>
    </row>
    <row r="17" spans="1:11" ht="15.75" customHeight="1">
      <c r="A17" s="1" t="s">
        <v>79</v>
      </c>
      <c r="C17" s="3"/>
      <c r="D17" s="15"/>
      <c r="E17" s="3">
        <f>SUM(E11:E15)</f>
        <v>0</v>
      </c>
      <c r="F17" s="15"/>
      <c r="G17" s="3">
        <f>SUM(G11:G15)</f>
        <v>0</v>
      </c>
      <c r="H17" s="15"/>
      <c r="I17" s="3">
        <f>SUM(I11:I15)</f>
        <v>0</v>
      </c>
      <c r="J17" s="15"/>
      <c r="K17" s="3">
        <f>SUM(K11:K15)</f>
        <v>0</v>
      </c>
    </row>
    <row r="18" spans="2:11" ht="15.75" customHeight="1">
      <c r="B18" s="26"/>
      <c r="C18" s="26"/>
      <c r="D18" s="26"/>
      <c r="E18" s="26"/>
      <c r="F18" s="26"/>
      <c r="G18" s="26"/>
      <c r="H18" s="26"/>
      <c r="I18" s="26"/>
      <c r="J18" s="26"/>
      <c r="K18" s="26"/>
    </row>
    <row r="19" spans="1:11" ht="15.75" customHeight="1">
      <c r="A19" s="26"/>
      <c r="B19" s="25" t="s">
        <v>80</v>
      </c>
      <c r="C19" s="132"/>
      <c r="D19" s="15"/>
      <c r="E19" s="169">
        <v>0</v>
      </c>
      <c r="F19" s="170"/>
      <c r="G19" s="169">
        <v>0</v>
      </c>
      <c r="H19" s="170"/>
      <c r="I19" s="169">
        <v>0</v>
      </c>
      <c r="J19" s="170"/>
      <c r="K19" s="169">
        <v>0</v>
      </c>
    </row>
    <row r="20" spans="1:11" ht="15.75" customHeight="1">
      <c r="A20" s="26"/>
      <c r="B20" s="25" t="s">
        <v>81</v>
      </c>
      <c r="C20" s="132"/>
      <c r="D20" s="15"/>
      <c r="E20" s="171">
        <v>0</v>
      </c>
      <c r="F20" s="170"/>
      <c r="G20" s="171">
        <v>0</v>
      </c>
      <c r="H20" s="170"/>
      <c r="I20" s="171">
        <v>0</v>
      </c>
      <c r="J20" s="170"/>
      <c r="K20" s="171">
        <v>0</v>
      </c>
    </row>
    <row r="21" spans="1:11" ht="15.75" customHeight="1">
      <c r="A21" s="26"/>
      <c r="B21" s="25" t="s">
        <v>72</v>
      </c>
      <c r="C21" s="141"/>
      <c r="D21" s="16"/>
      <c r="E21" s="172">
        <v>0</v>
      </c>
      <c r="F21" s="173"/>
      <c r="G21" s="172">
        <v>0</v>
      </c>
      <c r="H21" s="173"/>
      <c r="I21" s="172">
        <v>0</v>
      </c>
      <c r="J21" s="173"/>
      <c r="K21" s="172">
        <v>0</v>
      </c>
    </row>
    <row r="22" spans="1:11" ht="15.75" customHeight="1">
      <c r="A22" s="26"/>
      <c r="B22" s="26"/>
      <c r="C22" s="134"/>
      <c r="D22" s="15"/>
      <c r="E22" s="11"/>
      <c r="F22" s="15"/>
      <c r="G22" s="11"/>
      <c r="H22" s="15"/>
      <c r="I22" s="11"/>
      <c r="J22" s="15"/>
      <c r="K22" s="11"/>
    </row>
    <row r="23" spans="1:11" ht="15.75" customHeight="1">
      <c r="A23" s="1" t="s">
        <v>82</v>
      </c>
      <c r="B23" s="26"/>
      <c r="C23" s="132"/>
      <c r="D23" s="15"/>
      <c r="E23" s="10">
        <f>SUM(E17:E21)</f>
        <v>0</v>
      </c>
      <c r="F23" s="15"/>
      <c r="G23" s="10">
        <f>SUM(G17:G21)</f>
        <v>0</v>
      </c>
      <c r="H23" s="15"/>
      <c r="I23" s="10">
        <f>SUM(I17:I21)</f>
        <v>0</v>
      </c>
      <c r="J23" s="15"/>
      <c r="K23" s="10">
        <f>SUM(K17:K21)</f>
        <v>0</v>
      </c>
    </row>
    <row r="24" spans="1:11" ht="15.75" customHeight="1">
      <c r="A24" s="26"/>
      <c r="B24" s="26"/>
      <c r="C24" s="134"/>
      <c r="D24" s="15"/>
      <c r="E24" s="11"/>
      <c r="F24" s="15"/>
      <c r="G24" s="11"/>
      <c r="H24" s="15"/>
      <c r="I24" s="11"/>
      <c r="J24" s="15"/>
      <c r="K24" s="11"/>
    </row>
    <row r="25" spans="2:11" ht="15.75" customHeight="1">
      <c r="B25" s="25" t="s">
        <v>220</v>
      </c>
      <c r="C25" s="141"/>
      <c r="D25" s="16"/>
      <c r="E25" s="172">
        <f>'Table 1'!E32/2</f>
        <v>889220.5</v>
      </c>
      <c r="F25" s="173"/>
      <c r="G25" s="172">
        <f>E25</f>
        <v>889220.5</v>
      </c>
      <c r="H25" s="173"/>
      <c r="I25" s="172">
        <v>0</v>
      </c>
      <c r="J25" s="173"/>
      <c r="K25" s="172">
        <f>I25</f>
        <v>0</v>
      </c>
    </row>
    <row r="26" spans="1:11" ht="15.75" customHeight="1">
      <c r="A26" s="26"/>
      <c r="B26" s="26"/>
      <c r="C26" s="135"/>
      <c r="D26" s="15"/>
      <c r="E26" s="10"/>
      <c r="F26" s="15"/>
      <c r="G26" s="10"/>
      <c r="H26" s="15"/>
      <c r="I26" s="10"/>
      <c r="J26" s="15"/>
      <c r="K26" s="10"/>
    </row>
    <row r="27" spans="1:11" ht="15.75" customHeight="1">
      <c r="A27" s="1" t="s">
        <v>83</v>
      </c>
      <c r="B27" s="26"/>
      <c r="C27" s="141"/>
      <c r="D27" s="16"/>
      <c r="E27" s="32">
        <f>E23+E25</f>
        <v>889220.5</v>
      </c>
      <c r="F27" s="16"/>
      <c r="G27" s="32">
        <f>G23+G25</f>
        <v>889220.5</v>
      </c>
      <c r="H27" s="16"/>
      <c r="I27" s="32">
        <f>I23+I25</f>
        <v>0</v>
      </c>
      <c r="J27" s="16"/>
      <c r="K27" s="32">
        <f>K23+K25</f>
        <v>0</v>
      </c>
    </row>
    <row r="28" spans="1:12" ht="15.75" customHeight="1">
      <c r="A28" s="26"/>
      <c r="B28" s="26"/>
      <c r="C28" s="29"/>
      <c r="D28" s="26"/>
      <c r="E28" s="26"/>
      <c r="F28" s="26"/>
      <c r="G28" s="26"/>
      <c r="H28" s="26"/>
      <c r="I28" s="26"/>
      <c r="J28" s="26"/>
      <c r="K28" s="26"/>
      <c r="L28" s="26"/>
    </row>
    <row r="29" spans="1:11" ht="15.75" customHeight="1">
      <c r="A29" s="1" t="s">
        <v>84</v>
      </c>
      <c r="B29" s="26"/>
      <c r="C29" s="135"/>
      <c r="D29" s="15"/>
      <c r="E29" s="10"/>
      <c r="F29" s="15"/>
      <c r="G29" s="10"/>
      <c r="H29" s="15"/>
      <c r="I29" s="10"/>
      <c r="J29" s="15"/>
      <c r="K29" s="10"/>
    </row>
    <row r="30" spans="1:11" ht="15.75" customHeight="1">
      <c r="A30" s="26"/>
      <c r="B30" s="25" t="s">
        <v>85</v>
      </c>
      <c r="C30" s="132"/>
      <c r="D30" s="15"/>
      <c r="E30" s="169">
        <v>0</v>
      </c>
      <c r="F30" s="170"/>
      <c r="G30" s="169">
        <v>0</v>
      </c>
      <c r="H30" s="170"/>
      <c r="I30" s="169">
        <v>0</v>
      </c>
      <c r="J30" s="170"/>
      <c r="K30" s="169">
        <v>0</v>
      </c>
    </row>
    <row r="31" spans="1:11" ht="15.75" customHeight="1">
      <c r="A31" s="26"/>
      <c r="B31" s="25" t="s">
        <v>86</v>
      </c>
      <c r="C31" s="132"/>
      <c r="D31" s="15"/>
      <c r="E31" s="171">
        <v>0</v>
      </c>
      <c r="F31" s="170"/>
      <c r="G31" s="171">
        <v>0</v>
      </c>
      <c r="H31" s="170"/>
      <c r="I31" s="171">
        <v>0</v>
      </c>
      <c r="J31" s="170"/>
      <c r="K31" s="171">
        <v>0</v>
      </c>
    </row>
    <row r="32" spans="1:11" ht="15.75" customHeight="1">
      <c r="A32" s="26"/>
      <c r="B32" s="25" t="s">
        <v>87</v>
      </c>
      <c r="C32" s="132"/>
      <c r="D32" s="15"/>
      <c r="E32" s="171">
        <v>0</v>
      </c>
      <c r="F32" s="170"/>
      <c r="G32" s="171">
        <v>0</v>
      </c>
      <c r="H32" s="170"/>
      <c r="I32" s="171">
        <v>0</v>
      </c>
      <c r="J32" s="170"/>
      <c r="K32" s="171">
        <v>0</v>
      </c>
    </row>
    <row r="33" spans="1:11" ht="15.75" customHeight="1">
      <c r="A33" s="26"/>
      <c r="B33" s="25" t="s">
        <v>88</v>
      </c>
      <c r="C33" s="132"/>
      <c r="D33" s="15"/>
      <c r="E33" s="171">
        <v>0</v>
      </c>
      <c r="F33" s="170"/>
      <c r="G33" s="171">
        <v>0</v>
      </c>
      <c r="H33" s="170"/>
      <c r="I33" s="171">
        <v>0</v>
      </c>
      <c r="J33" s="170"/>
      <c r="K33" s="171">
        <v>0</v>
      </c>
    </row>
    <row r="34" spans="1:11" ht="15.75" customHeight="1">
      <c r="A34" s="26"/>
      <c r="B34" s="25" t="s">
        <v>89</v>
      </c>
      <c r="C34" s="132"/>
      <c r="D34" s="15"/>
      <c r="E34" s="171">
        <v>0</v>
      </c>
      <c r="F34" s="170"/>
      <c r="G34" s="171">
        <v>0</v>
      </c>
      <c r="H34" s="170"/>
      <c r="I34" s="171">
        <v>0</v>
      </c>
      <c r="J34" s="170"/>
      <c r="K34" s="171">
        <v>0</v>
      </c>
    </row>
    <row r="35" spans="1:11" ht="15.75" customHeight="1">
      <c r="A35" s="26"/>
      <c r="B35" s="25" t="s">
        <v>90</v>
      </c>
      <c r="C35" s="132"/>
      <c r="D35" s="15"/>
      <c r="E35" s="171">
        <v>0</v>
      </c>
      <c r="F35" s="170"/>
      <c r="G35" s="171">
        <v>0</v>
      </c>
      <c r="H35" s="170"/>
      <c r="I35" s="171">
        <v>0</v>
      </c>
      <c r="J35" s="170"/>
      <c r="K35" s="171">
        <v>0</v>
      </c>
    </row>
    <row r="36" spans="1:11" ht="15.75" customHeight="1">
      <c r="A36" s="26"/>
      <c r="B36" s="25" t="s">
        <v>91</v>
      </c>
      <c r="C36" s="141"/>
      <c r="D36" s="16"/>
      <c r="E36" s="172"/>
      <c r="F36" s="173"/>
      <c r="G36" s="172">
        <f>'Table 1'!E32/15</f>
        <v>118562.73333333334</v>
      </c>
      <c r="H36" s="173"/>
      <c r="I36" s="172">
        <f>G36</f>
        <v>118562.73333333334</v>
      </c>
      <c r="J36" s="173"/>
      <c r="K36" s="172">
        <f>I36</f>
        <v>118562.73333333334</v>
      </c>
    </row>
    <row r="37" spans="1:10" ht="15.75" customHeight="1">
      <c r="A37" s="26"/>
      <c r="B37" s="26"/>
      <c r="C37" s="125"/>
      <c r="D37" s="26"/>
      <c r="F37" s="26"/>
      <c r="H37" s="26"/>
      <c r="J37" s="26"/>
    </row>
    <row r="38" spans="1:11" ht="15.75" customHeight="1" thickBot="1">
      <c r="A38" s="1" t="s">
        <v>92</v>
      </c>
      <c r="B38" s="26"/>
      <c r="C38" s="138"/>
      <c r="D38" s="16"/>
      <c r="E38" s="32">
        <f>SUM(E30:E36)</f>
        <v>0</v>
      </c>
      <c r="F38" s="16"/>
      <c r="G38" s="32">
        <f>SUM(G30:G36)</f>
        <v>118562.73333333334</v>
      </c>
      <c r="H38" s="16"/>
      <c r="I38" s="32">
        <f>SUM(I30:I36)</f>
        <v>118562.73333333334</v>
      </c>
      <c r="J38" s="16"/>
      <c r="K38" s="32">
        <f>SUM(K30:K36)</f>
        <v>118562.73333333334</v>
      </c>
    </row>
    <row r="39" spans="1:11" ht="15.75" customHeight="1" thickTop="1">
      <c r="A39" s="26"/>
      <c r="B39" s="26"/>
      <c r="C39" s="136"/>
      <c r="D39" s="15"/>
      <c r="E39" s="9"/>
      <c r="F39" s="15"/>
      <c r="G39" s="9"/>
      <c r="H39" s="15"/>
      <c r="I39" s="9"/>
      <c r="J39" s="15"/>
      <c r="K39" s="9"/>
    </row>
    <row r="40" spans="1:11" ht="15.75" customHeight="1">
      <c r="A40" s="1" t="s">
        <v>93</v>
      </c>
      <c r="B40" s="26"/>
      <c r="C40" s="132"/>
      <c r="D40" s="15"/>
      <c r="E40" s="10">
        <f>E27-E38</f>
        <v>889220.5</v>
      </c>
      <c r="F40" s="15"/>
      <c r="G40" s="10">
        <f>G27-G38</f>
        <v>770657.7666666666</v>
      </c>
      <c r="H40" s="15"/>
      <c r="I40" s="10">
        <f>I27-I38</f>
        <v>-118562.73333333334</v>
      </c>
      <c r="J40" s="15"/>
      <c r="K40" s="10">
        <f>K27-K38</f>
        <v>-118562.73333333334</v>
      </c>
    </row>
    <row r="41" spans="1:11" ht="15.75" customHeight="1">
      <c r="A41" s="26"/>
      <c r="B41" s="26"/>
      <c r="C41" s="136"/>
      <c r="D41" s="15"/>
      <c r="E41" s="9"/>
      <c r="F41" s="15"/>
      <c r="G41" s="9"/>
      <c r="H41" s="15"/>
      <c r="I41" s="9"/>
      <c r="J41" s="15"/>
      <c r="K41" s="9"/>
    </row>
    <row r="42" spans="2:11" ht="15.75" customHeight="1" thickBot="1">
      <c r="B42" s="25" t="s">
        <v>94</v>
      </c>
      <c r="C42" s="138"/>
      <c r="D42" s="16"/>
      <c r="E42" s="172">
        <v>0</v>
      </c>
      <c r="F42" s="173"/>
      <c r="G42" s="172">
        <v>0</v>
      </c>
      <c r="H42" s="173"/>
      <c r="I42" s="172">
        <v>0</v>
      </c>
      <c r="J42" s="173"/>
      <c r="K42" s="172">
        <v>0</v>
      </c>
    </row>
    <row r="43" spans="1:11" ht="15.75" customHeight="1" thickTop="1">
      <c r="A43" s="26"/>
      <c r="B43" s="26"/>
      <c r="C43" s="137"/>
      <c r="D43" s="28"/>
      <c r="E43" s="27"/>
      <c r="F43" s="28"/>
      <c r="G43" s="27"/>
      <c r="H43" s="28"/>
      <c r="I43" s="27"/>
      <c r="J43" s="28"/>
      <c r="K43" s="27"/>
    </row>
    <row r="44" spans="1:11" ht="15.75" customHeight="1" thickBot="1">
      <c r="A44" s="1" t="s">
        <v>95</v>
      </c>
      <c r="B44" s="26"/>
      <c r="C44" s="138"/>
      <c r="D44" s="34"/>
      <c r="E44" s="33">
        <f>E40+E42</f>
        <v>889220.5</v>
      </c>
      <c r="F44" s="34"/>
      <c r="G44" s="33">
        <f>G40+G42</f>
        <v>770657.7666666666</v>
      </c>
      <c r="H44" s="34"/>
      <c r="I44" s="33">
        <f>I40+I42</f>
        <v>-118562.73333333334</v>
      </c>
      <c r="J44" s="34"/>
      <c r="K44" s="33">
        <f>K40+K42</f>
        <v>-118562.73333333334</v>
      </c>
    </row>
    <row r="45" spans="1:10" ht="15.75" customHeight="1" thickTop="1">
      <c r="A45" s="26"/>
      <c r="B45" s="26"/>
      <c r="D45" s="26"/>
      <c r="F45" s="26"/>
      <c r="H45" s="26"/>
      <c r="J45" s="26"/>
    </row>
    <row r="46" spans="1:10" ht="15.75" customHeight="1">
      <c r="A46" s="26"/>
      <c r="B46" s="26"/>
      <c r="F46" s="26"/>
      <c r="H46" s="26"/>
      <c r="J46" s="26"/>
    </row>
    <row r="47" spans="1:10" ht="15.75" customHeight="1">
      <c r="A47" s="26" t="s">
        <v>73</v>
      </c>
      <c r="B47" s="26"/>
      <c r="F47" s="26"/>
      <c r="H47" s="26"/>
      <c r="J47" s="26"/>
    </row>
    <row r="48" spans="1:10" ht="12.75">
      <c r="A48" s="26"/>
      <c r="B48" s="26"/>
      <c r="F48" s="26"/>
      <c r="H48" s="26"/>
      <c r="J48" s="26"/>
    </row>
    <row r="49" ht="12.75">
      <c r="H49" s="26"/>
    </row>
    <row r="50" ht="12.75">
      <c r="H50" s="26"/>
    </row>
  </sheetData>
  <sheetProtection/>
  <mergeCells count="5">
    <mergeCell ref="A5:K5"/>
    <mergeCell ref="A1:K1"/>
    <mergeCell ref="A2:K2"/>
    <mergeCell ref="A3:K3"/>
    <mergeCell ref="A4:K4"/>
  </mergeCells>
  <printOptions horizontalCentered="1"/>
  <pageMargins left="0.25" right="0.25" top="0.75" bottom="0.75" header="0.5" footer="0.5"/>
  <pageSetup fitToHeight="1" fitToWidth="1" horizontalDpi="600" verticalDpi="600" orientation="portrait" scale="92" r:id="rId1"/>
  <headerFooter alignWithMargins="0">
    <oddHeader>&amp;L&amp;"Arial,Italic"&amp;11NOTE: When completing this table make entries in the shaded fields only.</oddHeader>
    <oddFooter>&amp;L&amp;D
Health Care Administration&amp;R&amp;F,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zoomScale="85" zoomScaleNormal="85" zoomScalePageLayoutView="0" workbookViewId="0" topLeftCell="A1">
      <pane ySplit="9" topLeftCell="A19" activePane="bottomLeft" state="frozen"/>
      <selection pane="topLeft" activeCell="A1" sqref="A1"/>
      <selection pane="bottomLeft" activeCell="B25" sqref="B25"/>
    </sheetView>
  </sheetViews>
  <sheetFormatPr defaultColWidth="9.140625" defaultRowHeight="12.75"/>
  <cols>
    <col min="1" max="1" width="2.7109375" style="0" customWidth="1"/>
    <col min="2" max="2" width="32.8515625" style="0" customWidth="1"/>
    <col min="3" max="3" width="13.8515625" style="0" customWidth="1"/>
    <col min="4" max="4" width="1.8515625" style="0" customWidth="1"/>
    <col min="5" max="5" width="13.8515625" style="0" customWidth="1"/>
    <col min="6" max="6" width="1.8515625" style="0" customWidth="1"/>
    <col min="7" max="7" width="13.8515625" style="0" customWidth="1"/>
    <col min="8" max="8" width="1.8515625" style="0" customWidth="1"/>
    <col min="9" max="9" width="13.8515625" style="0" customWidth="1"/>
    <col min="10" max="10" width="1.8515625" style="0" customWidth="1"/>
    <col min="11" max="11" width="13.8515625" style="0" customWidth="1"/>
  </cols>
  <sheetData>
    <row r="1" spans="1:11" ht="15.75">
      <c r="A1" s="190" t="str">
        <f>'Table 1'!A1</f>
        <v>50 Granview Dr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5.75">
      <c r="A2" s="190" t="str">
        <f>'Table 1'!A2</f>
        <v>WCMHS Infrastructure Improvement Project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ht="14.25">
      <c r="A3" s="193" t="s">
        <v>175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</row>
    <row r="4" spans="1:11" ht="14.25">
      <c r="A4" s="193" t="s">
        <v>77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</row>
    <row r="5" spans="1:11" ht="14.25">
      <c r="A5" s="193" t="s">
        <v>75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</row>
    <row r="6" ht="15.75" customHeight="1"/>
    <row r="7" spans="3:11" ht="15.75" customHeight="1">
      <c r="C7" s="1"/>
      <c r="D7" s="1"/>
      <c r="E7" s="13"/>
      <c r="F7" s="1"/>
      <c r="G7" s="13" t="s">
        <v>0</v>
      </c>
      <c r="H7" s="26"/>
      <c r="I7" s="13" t="s">
        <v>0</v>
      </c>
      <c r="J7" s="26"/>
      <c r="K7" s="13" t="s">
        <v>0</v>
      </c>
    </row>
    <row r="8" spans="3:11" ht="15.75" customHeight="1">
      <c r="C8" s="13" t="s">
        <v>70</v>
      </c>
      <c r="D8" s="29"/>
      <c r="E8" s="13" t="s">
        <v>179</v>
      </c>
      <c r="F8" s="29"/>
      <c r="G8" s="13" t="s">
        <v>1</v>
      </c>
      <c r="H8" s="29"/>
      <c r="I8" s="13" t="s">
        <v>2</v>
      </c>
      <c r="J8" s="29"/>
      <c r="K8" s="13" t="s">
        <v>3</v>
      </c>
    </row>
    <row r="9" spans="3:11" ht="15.75" customHeight="1">
      <c r="C9" s="14">
        <f>'Table 3A'!C9</f>
        <v>2023</v>
      </c>
      <c r="D9" s="30"/>
      <c r="E9" s="14">
        <f>C9+1</f>
        <v>2024</v>
      </c>
      <c r="F9" s="30"/>
      <c r="G9" s="14">
        <f>E9+1</f>
        <v>2025</v>
      </c>
      <c r="H9" s="30"/>
      <c r="I9" s="14">
        <f>G9+1</f>
        <v>2026</v>
      </c>
      <c r="J9" s="30"/>
      <c r="K9" s="14">
        <f>I9+1</f>
        <v>2027</v>
      </c>
    </row>
    <row r="10" spans="1:10" ht="15.75" customHeight="1">
      <c r="A10" s="1" t="s">
        <v>78</v>
      </c>
      <c r="D10" s="26"/>
      <c r="F10" s="26"/>
      <c r="H10" s="26"/>
      <c r="J10" s="26"/>
    </row>
    <row r="11" spans="2:11" ht="15.75" customHeight="1">
      <c r="B11" s="26" t="s">
        <v>218</v>
      </c>
      <c r="C11" s="10">
        <f>'Table 3A'!C11+'Table 3B'!C11</f>
        <v>60714124</v>
      </c>
      <c r="D11" s="15"/>
      <c r="E11" s="10">
        <f>'Table 3A'!E11+'Table 3B'!E11</f>
        <v>63515593</v>
      </c>
      <c r="F11" s="15"/>
      <c r="G11" s="10">
        <f>'Table 3A'!G11+'Table 3B'!G11</f>
        <v>64785904.86</v>
      </c>
      <c r="H11" s="15"/>
      <c r="I11" s="10">
        <f>'Table 3A'!I11+'Table 3B'!I11</f>
        <v>66081622.9572</v>
      </c>
      <c r="J11" s="15"/>
      <c r="K11" s="10">
        <f>'Table 3A'!K11+'Table 3B'!K11</f>
        <v>67403255.416344</v>
      </c>
    </row>
    <row r="12" spans="2:11" ht="15.75" customHeight="1">
      <c r="B12" s="26" t="s">
        <v>219</v>
      </c>
      <c r="C12" s="11">
        <f>'Table 3A'!C12+'Table 3B'!C12</f>
        <v>4732209</v>
      </c>
      <c r="D12" s="15"/>
      <c r="E12" s="11">
        <f>'Table 3A'!E12+'Table 3B'!E12</f>
        <v>4185533</v>
      </c>
      <c r="F12" s="15"/>
      <c r="G12" s="11">
        <f>'Table 3A'!G12+'Table 3B'!G12</f>
        <v>4269243.66</v>
      </c>
      <c r="H12" s="15"/>
      <c r="I12" s="11">
        <f>'Table 3A'!I12+'Table 3B'!I12</f>
        <v>4354628.5332</v>
      </c>
      <c r="J12" s="15"/>
      <c r="K12" s="11">
        <f>'Table 3A'!K12+'Table 3B'!K12</f>
        <v>4441721.103864</v>
      </c>
    </row>
    <row r="13" spans="2:11" ht="15.75" customHeight="1">
      <c r="B13" s="26"/>
      <c r="C13" s="11">
        <f>'Table 3A'!C13+'Table 3B'!C13</f>
        <v>0</v>
      </c>
      <c r="D13" s="15"/>
      <c r="E13" s="11">
        <f>'Table 3A'!E13+'Table 3B'!E13</f>
        <v>0</v>
      </c>
      <c r="F13" s="15"/>
      <c r="G13" s="11">
        <f>'Table 3A'!G13+'Table 3B'!G13</f>
        <v>0</v>
      </c>
      <c r="H13" s="15"/>
      <c r="I13" s="11">
        <f>'Table 3A'!I13+'Table 3B'!I13</f>
        <v>0</v>
      </c>
      <c r="J13" s="15"/>
      <c r="K13" s="11">
        <f>'Table 3A'!K13+'Table 3B'!K13</f>
        <v>0</v>
      </c>
    </row>
    <row r="14" spans="2:11" ht="15.75" customHeight="1">
      <c r="B14" s="26"/>
      <c r="C14" s="11">
        <f>'Table 3A'!C14+'Table 3B'!C14</f>
        <v>0</v>
      </c>
      <c r="D14" s="15"/>
      <c r="E14" s="11">
        <f>'Table 3A'!E14+'Table 3B'!E14</f>
        <v>0</v>
      </c>
      <c r="F14" s="15"/>
      <c r="G14" s="11">
        <f>'Table 3A'!G14+'Table 3B'!G14</f>
        <v>0</v>
      </c>
      <c r="H14" s="15"/>
      <c r="I14" s="11">
        <f>'Table 3A'!I14+'Table 3B'!I14</f>
        <v>0</v>
      </c>
      <c r="J14" s="15"/>
      <c r="K14" s="11">
        <f>'Table 3A'!K14+'Table 3B'!K14</f>
        <v>0</v>
      </c>
    </row>
    <row r="15" spans="2:11" ht="15.75" customHeight="1">
      <c r="B15" s="26"/>
      <c r="C15" s="12">
        <f>'Table 3A'!C15+'Table 3B'!C15</f>
        <v>0</v>
      </c>
      <c r="D15" s="16"/>
      <c r="E15" s="12">
        <f>'Table 3A'!E15+'Table 3B'!E15</f>
        <v>0</v>
      </c>
      <c r="F15" s="16"/>
      <c r="G15" s="12">
        <f>'Table 3A'!G15+'Table 3B'!G15</f>
        <v>0</v>
      </c>
      <c r="H15" s="16"/>
      <c r="I15" s="12">
        <f>'Table 3A'!I15+'Table 3B'!I15</f>
        <v>0</v>
      </c>
      <c r="J15" s="16"/>
      <c r="K15" s="12">
        <f>'Table 3A'!K15+'Table 3B'!K15</f>
        <v>0</v>
      </c>
    </row>
    <row r="16" spans="2:11" ht="15.75" customHeight="1">
      <c r="B16" s="26"/>
      <c r="C16" s="31"/>
      <c r="D16" s="28"/>
      <c r="E16" s="31"/>
      <c r="F16" s="28"/>
      <c r="G16" s="31"/>
      <c r="H16" s="28"/>
      <c r="I16" s="31"/>
      <c r="J16" s="28"/>
      <c r="K16" s="31"/>
    </row>
    <row r="17" spans="1:11" ht="15.75" customHeight="1">
      <c r="A17" s="1" t="s">
        <v>79</v>
      </c>
      <c r="B17" s="26"/>
      <c r="C17" s="10">
        <f>SUM(C11:C15)</f>
        <v>65446333</v>
      </c>
      <c r="D17" s="15"/>
      <c r="E17" s="10">
        <f>SUM(E11:E15)</f>
        <v>67701126</v>
      </c>
      <c r="F17" s="15"/>
      <c r="G17" s="10">
        <f>SUM(G11:G15)</f>
        <v>69055148.52</v>
      </c>
      <c r="H17" s="15"/>
      <c r="I17" s="10">
        <f>SUM(I11:I15)</f>
        <v>70436251.4904</v>
      </c>
      <c r="J17" s="15"/>
      <c r="K17" s="10">
        <f>SUM(K11:K15)</f>
        <v>71844976.520208</v>
      </c>
    </row>
    <row r="18" spans="2:11" ht="15.75" customHeight="1">
      <c r="B18" s="26"/>
      <c r="C18" s="26"/>
      <c r="D18" s="26"/>
      <c r="E18" s="26"/>
      <c r="F18" s="26"/>
      <c r="G18" s="26"/>
      <c r="H18" s="26"/>
      <c r="I18" s="26"/>
      <c r="J18" s="26"/>
      <c r="K18" s="26"/>
    </row>
    <row r="19" spans="1:11" ht="15.75" customHeight="1">
      <c r="A19" s="26"/>
      <c r="B19" s="26" t="s">
        <v>80</v>
      </c>
      <c r="C19" s="10">
        <f>'Table 3A'!C19+'Table 3B'!C19</f>
        <v>0</v>
      </c>
      <c r="D19" s="15"/>
      <c r="E19" s="10">
        <f>'Table 3A'!E19+'Table 3B'!E19</f>
        <v>0</v>
      </c>
      <c r="F19" s="15"/>
      <c r="G19" s="10">
        <f>'Table 3A'!G19+'Table 3B'!G19</f>
        <v>0</v>
      </c>
      <c r="H19" s="15"/>
      <c r="I19" s="10">
        <f>'Table 3A'!I19+'Table 3B'!I19</f>
        <v>0</v>
      </c>
      <c r="J19" s="15"/>
      <c r="K19" s="10">
        <f>'Table 3A'!K19+'Table 3B'!K19</f>
        <v>0</v>
      </c>
    </row>
    <row r="20" spans="1:11" ht="15.75" customHeight="1">
      <c r="A20" s="26"/>
      <c r="B20" s="26" t="s">
        <v>81</v>
      </c>
      <c r="C20" s="11">
        <f>'Table 3A'!C20+'Table 3B'!C20</f>
        <v>0</v>
      </c>
      <c r="D20" s="15"/>
      <c r="E20" s="11">
        <f>'Table 3A'!E20+'Table 3B'!E20</f>
        <v>0</v>
      </c>
      <c r="F20" s="15"/>
      <c r="G20" s="11">
        <f>'Table 3A'!G20+'Table 3B'!G20</f>
        <v>0</v>
      </c>
      <c r="H20" s="15"/>
      <c r="I20" s="11">
        <f>'Table 3A'!I20+'Table 3B'!I20</f>
        <v>0</v>
      </c>
      <c r="J20" s="15"/>
      <c r="K20" s="11">
        <f>'Table 3A'!K20+'Table 3B'!K20</f>
        <v>0</v>
      </c>
    </row>
    <row r="21" spans="1:11" ht="15.75" customHeight="1">
      <c r="A21" s="26"/>
      <c r="B21" s="26" t="s">
        <v>72</v>
      </c>
      <c r="C21" s="12">
        <f>'Table 3A'!C21+'Table 3B'!C21</f>
        <v>0</v>
      </c>
      <c r="D21" s="16"/>
      <c r="E21" s="12">
        <f>'Table 3A'!E21+'Table 3B'!E21</f>
        <v>0</v>
      </c>
      <c r="F21" s="16"/>
      <c r="G21" s="12">
        <f>'Table 3A'!G21+'Table 3B'!G21</f>
        <v>0</v>
      </c>
      <c r="H21" s="16"/>
      <c r="I21" s="12">
        <f>'Table 3A'!I21+'Table 3B'!I21</f>
        <v>0</v>
      </c>
      <c r="J21" s="16"/>
      <c r="K21" s="12">
        <f>'Table 3A'!K21+'Table 3B'!K21</f>
        <v>0</v>
      </c>
    </row>
    <row r="22" spans="1:11" ht="15.75" customHeight="1">
      <c r="A22" s="26"/>
      <c r="B22" s="26"/>
      <c r="C22" s="11"/>
      <c r="D22" s="15"/>
      <c r="E22" s="11"/>
      <c r="F22" s="15"/>
      <c r="G22" s="11"/>
      <c r="H22" s="15"/>
      <c r="I22" s="11"/>
      <c r="J22" s="15"/>
      <c r="K22" s="11"/>
    </row>
    <row r="23" spans="1:11" ht="15.75" customHeight="1">
      <c r="A23" s="1" t="s">
        <v>82</v>
      </c>
      <c r="B23" s="26"/>
      <c r="C23" s="10">
        <f>SUM(C17:C21)</f>
        <v>65446333</v>
      </c>
      <c r="D23" s="15"/>
      <c r="E23" s="10">
        <f>SUM(E17:E21)</f>
        <v>67701126</v>
      </c>
      <c r="F23" s="15"/>
      <c r="G23" s="10">
        <f>SUM(G17:G21)</f>
        <v>69055148.52</v>
      </c>
      <c r="H23" s="15"/>
      <c r="I23" s="10">
        <f>SUM(I17:I21)</f>
        <v>70436251.4904</v>
      </c>
      <c r="J23" s="15"/>
      <c r="K23" s="10">
        <f>SUM(K17:K21)</f>
        <v>71844976.520208</v>
      </c>
    </row>
    <row r="24" spans="1:11" ht="15.75" customHeight="1">
      <c r="A24" s="26"/>
      <c r="B24" s="26"/>
      <c r="C24" s="11"/>
      <c r="D24" s="15"/>
      <c r="E24" s="11"/>
      <c r="F24" s="15"/>
      <c r="G24" s="11"/>
      <c r="H24" s="15"/>
      <c r="I24" s="11"/>
      <c r="J24" s="15"/>
      <c r="K24" s="11"/>
    </row>
    <row r="25" spans="2:11" ht="15.75" customHeight="1">
      <c r="B25" s="26" t="s">
        <v>220</v>
      </c>
      <c r="C25" s="12">
        <f>'Table 3A'!C25+'Table 3B'!C25</f>
        <v>1758828</v>
      </c>
      <c r="D25" s="16"/>
      <c r="E25" s="12">
        <f>'Table 3A'!E25+'Table 3B'!E25</f>
        <v>1629437.5</v>
      </c>
      <c r="F25" s="16"/>
      <c r="G25" s="12">
        <f>'Table 3A'!G25+'Table 3B'!G25</f>
        <v>1644241.8399999999</v>
      </c>
      <c r="H25" s="16"/>
      <c r="I25" s="12">
        <f>'Table 3A'!I25+'Table 3B'!I25</f>
        <v>770121.7668</v>
      </c>
      <c r="J25" s="16"/>
      <c r="K25" s="12">
        <f>'Table 3A'!K25+'Table 3B'!K25</f>
        <v>785524.202136</v>
      </c>
    </row>
    <row r="26" spans="1:11" ht="15.75" customHeight="1">
      <c r="A26" s="26"/>
      <c r="B26" s="26"/>
      <c r="C26" s="10"/>
      <c r="D26" s="15"/>
      <c r="E26" s="10"/>
      <c r="F26" s="15"/>
      <c r="G26" s="10"/>
      <c r="H26" s="15"/>
      <c r="I26" s="10"/>
      <c r="J26" s="15"/>
      <c r="K26" s="10"/>
    </row>
    <row r="27" spans="1:11" ht="15.75" customHeight="1">
      <c r="A27" s="1" t="s">
        <v>83</v>
      </c>
      <c r="B27" s="26"/>
      <c r="C27" s="32">
        <f>C23+C25</f>
        <v>67205161</v>
      </c>
      <c r="D27" s="16"/>
      <c r="E27" s="32">
        <f>E23+E25</f>
        <v>69330563.5</v>
      </c>
      <c r="F27" s="16"/>
      <c r="G27" s="32">
        <f>G23+G25</f>
        <v>70699390.36</v>
      </c>
      <c r="H27" s="16"/>
      <c r="I27" s="32">
        <f>I23+I25</f>
        <v>71206373.2572</v>
      </c>
      <c r="J27" s="16"/>
      <c r="K27" s="32">
        <f>K23+K25</f>
        <v>72630500.722344</v>
      </c>
    </row>
    <row r="28" spans="1:12" ht="15.7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</row>
    <row r="29" spans="1:11" ht="15.75" customHeight="1">
      <c r="A29" s="1" t="s">
        <v>84</v>
      </c>
      <c r="B29" s="26"/>
      <c r="C29" s="10"/>
      <c r="D29" s="15"/>
      <c r="E29" s="10"/>
      <c r="F29" s="15"/>
      <c r="G29" s="10"/>
      <c r="H29" s="15"/>
      <c r="I29" s="10"/>
      <c r="J29" s="15"/>
      <c r="K29" s="10"/>
    </row>
    <row r="30" spans="1:11" ht="15.75" customHeight="1">
      <c r="A30" s="26"/>
      <c r="B30" s="26" t="s">
        <v>85</v>
      </c>
      <c r="C30" s="10">
        <f>'Table 3A'!C30+'Table 3B'!C30</f>
        <v>32437324</v>
      </c>
      <c r="D30" s="15"/>
      <c r="E30" s="10">
        <f>'Table 3A'!E30+'Table 3B'!E30</f>
        <v>35938723</v>
      </c>
      <c r="F30" s="15"/>
      <c r="G30" s="10">
        <f>'Table 3A'!G30+'Table 3B'!G30</f>
        <v>36657497.46</v>
      </c>
      <c r="H30" s="15"/>
      <c r="I30" s="10">
        <f>'Table 3A'!I30+'Table 3B'!I30</f>
        <v>37390647.409200005</v>
      </c>
      <c r="J30" s="15"/>
      <c r="K30" s="10">
        <f>'Table 3A'!K30+'Table 3B'!K30</f>
        <v>38138460.357384</v>
      </c>
    </row>
    <row r="31" spans="1:11" ht="15.75" customHeight="1">
      <c r="A31" s="26"/>
      <c r="B31" s="26" t="s">
        <v>86</v>
      </c>
      <c r="C31" s="11">
        <f>'Table 3A'!C31+'Table 3B'!C31</f>
        <v>10882036</v>
      </c>
      <c r="D31" s="15"/>
      <c r="E31" s="11">
        <f>'Table 3A'!E31+'Table 3B'!E31</f>
        <v>12992509</v>
      </c>
      <c r="F31" s="15"/>
      <c r="G31" s="11">
        <f>'Table 3A'!G31+'Table 3B'!G31</f>
        <v>13252359.18</v>
      </c>
      <c r="H31" s="15"/>
      <c r="I31" s="11">
        <f>'Table 3A'!I31+'Table 3B'!I31</f>
        <v>13517406.3636</v>
      </c>
      <c r="J31" s="15"/>
      <c r="K31" s="11">
        <f>'Table 3A'!K31+'Table 3B'!K31</f>
        <v>13787754.490872001</v>
      </c>
    </row>
    <row r="32" spans="1:11" ht="15.75" customHeight="1">
      <c r="A32" s="26"/>
      <c r="B32" s="26" t="s">
        <v>87</v>
      </c>
      <c r="C32" s="11">
        <f>'Table 3A'!C32+'Table 3B'!C32</f>
        <v>912916.0403999999</v>
      </c>
      <c r="D32" s="15"/>
      <c r="E32" s="11">
        <f>'Table 3A'!E32+'Table 3B'!E32</f>
        <v>948991.68</v>
      </c>
      <c r="F32" s="15"/>
      <c r="G32" s="11">
        <f>'Table 3A'!G32+'Table 3B'!G32</f>
        <v>967971.5136000001</v>
      </c>
      <c r="H32" s="15"/>
      <c r="I32" s="11">
        <f>'Table 3A'!I32+'Table 3B'!I32</f>
        <v>987330.9438720001</v>
      </c>
      <c r="J32" s="15"/>
      <c r="K32" s="11">
        <f>'Table 3A'!K32+'Table 3B'!K32</f>
        <v>1007077.5627494401</v>
      </c>
    </row>
    <row r="33" spans="1:11" ht="15.75" customHeight="1">
      <c r="A33" s="26"/>
      <c r="B33" s="26" t="s">
        <v>88</v>
      </c>
      <c r="C33" s="11">
        <f>'Table 3A'!C33+'Table 3B'!C33</f>
        <v>0</v>
      </c>
      <c r="D33" s="15"/>
      <c r="E33" s="11">
        <f>'Table 3A'!E33+'Table 3B'!E33</f>
        <v>0</v>
      </c>
      <c r="F33" s="15"/>
      <c r="G33" s="11">
        <f>'Table 3A'!G33+'Table 3B'!G33</f>
        <v>0</v>
      </c>
      <c r="H33" s="15"/>
      <c r="I33" s="11">
        <f>'Table 3A'!I33+'Table 3B'!I33</f>
        <v>0</v>
      </c>
      <c r="J33" s="15"/>
      <c r="K33" s="11">
        <f>'Table 3A'!K33+'Table 3B'!K33</f>
        <v>0</v>
      </c>
    </row>
    <row r="34" spans="1:11" ht="15.75" customHeight="1">
      <c r="A34" s="26"/>
      <c r="B34" s="26" t="s">
        <v>89</v>
      </c>
      <c r="C34" s="11">
        <f>'Table 3A'!C34+'Table 3B'!C34</f>
        <v>1237179</v>
      </c>
      <c r="D34" s="15"/>
      <c r="E34" s="11">
        <f>'Table 3A'!E34+'Table 3B'!E34</f>
        <v>1485205</v>
      </c>
      <c r="F34" s="15"/>
      <c r="G34" s="11">
        <f>'Table 3A'!G34+'Table 3B'!G34</f>
        <v>1514909.1</v>
      </c>
      <c r="H34" s="15"/>
      <c r="I34" s="11">
        <f>'Table 3A'!I34+'Table 3B'!I34</f>
        <v>1545207.2820000001</v>
      </c>
      <c r="J34" s="15"/>
      <c r="K34" s="11">
        <f>'Table 3A'!K34+'Table 3B'!K34</f>
        <v>1576111.4276400001</v>
      </c>
    </row>
    <row r="35" spans="1:11" ht="15.75" customHeight="1">
      <c r="A35" s="26"/>
      <c r="B35" s="26" t="s">
        <v>90</v>
      </c>
      <c r="C35" s="11">
        <f>'Table 3A'!C35+'Table 3B'!C35</f>
        <v>103184</v>
      </c>
      <c r="D35" s="15"/>
      <c r="E35" s="11">
        <f>'Table 3A'!E35+'Table 3B'!E35</f>
        <v>131773</v>
      </c>
      <c r="F35" s="15"/>
      <c r="G35" s="11">
        <f>'Table 3A'!G35+'Table 3B'!G35</f>
        <v>130455.27</v>
      </c>
      <c r="H35" s="15"/>
      <c r="I35" s="11">
        <f>'Table 3A'!I35+'Table 3B'!I35</f>
        <v>129150.7173</v>
      </c>
      <c r="J35" s="15"/>
      <c r="K35" s="11">
        <f>'Table 3A'!K35+'Table 3B'!K35</f>
        <v>127859.210127</v>
      </c>
    </row>
    <row r="36" spans="1:11" ht="15.75" customHeight="1">
      <c r="A36" s="26"/>
      <c r="B36" s="26" t="s">
        <v>91</v>
      </c>
      <c r="C36" s="12">
        <f>'Table 3A'!C36+'Table 3B'!C36</f>
        <v>20263545.9596</v>
      </c>
      <c r="D36" s="16"/>
      <c r="E36" s="12">
        <f>'Table 3A'!E36+'Table 3B'!E36</f>
        <v>17503240.32</v>
      </c>
      <c r="F36" s="16"/>
      <c r="G36" s="12">
        <f>'Table 3A'!G36+'Table 3B'!G36</f>
        <v>17971867.859733336</v>
      </c>
      <c r="H36" s="16"/>
      <c r="I36" s="12">
        <f>'Table 3A'!I36+'Table 3B'!I36</f>
        <v>18328933.962261338</v>
      </c>
      <c r="J36" s="16"/>
      <c r="K36" s="12">
        <f>'Table 3A'!K36+'Table 3B'!K36</f>
        <v>18693141.386839896</v>
      </c>
    </row>
    <row r="37" spans="1:11" ht="15.75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</row>
    <row r="38" spans="1:11" ht="15.75" customHeight="1">
      <c r="A38" s="1" t="s">
        <v>92</v>
      </c>
      <c r="B38" s="26"/>
      <c r="C38" s="32">
        <f>SUM(C30:C36)</f>
        <v>65836185</v>
      </c>
      <c r="D38" s="16"/>
      <c r="E38" s="32">
        <f>SUM(E30:E36)</f>
        <v>69000442</v>
      </c>
      <c r="F38" s="16"/>
      <c r="G38" s="32">
        <f>SUM(G30:G36)</f>
        <v>70495060.38333334</v>
      </c>
      <c r="H38" s="16"/>
      <c r="I38" s="32">
        <f>SUM(I30:I36)</f>
        <v>71898676.67823334</v>
      </c>
      <c r="J38" s="16"/>
      <c r="K38" s="32">
        <f>SUM(K30:K36)</f>
        <v>73330404.43561235</v>
      </c>
    </row>
    <row r="39" spans="1:11" ht="15.75" customHeight="1">
      <c r="A39" s="26"/>
      <c r="B39" s="26"/>
      <c r="C39" s="11"/>
      <c r="D39" s="15"/>
      <c r="E39" s="11"/>
      <c r="F39" s="15"/>
      <c r="G39" s="11"/>
      <c r="H39" s="15"/>
      <c r="I39" s="11"/>
      <c r="J39" s="15"/>
      <c r="K39" s="11"/>
    </row>
    <row r="40" spans="1:11" ht="15.75" customHeight="1">
      <c r="A40" s="1" t="s">
        <v>93</v>
      </c>
      <c r="B40" s="26"/>
      <c r="C40" s="10">
        <f>C27-C38</f>
        <v>1368976</v>
      </c>
      <c r="D40" s="15"/>
      <c r="E40" s="10">
        <f>E27-E38</f>
        <v>330121.5</v>
      </c>
      <c r="F40" s="15"/>
      <c r="G40" s="10">
        <f>G27-G38</f>
        <v>204329.97666665912</v>
      </c>
      <c r="H40" s="15"/>
      <c r="I40" s="10">
        <f>I27-I38</f>
        <v>-692303.4210333377</v>
      </c>
      <c r="J40" s="15"/>
      <c r="K40" s="10">
        <f>K27-K38</f>
        <v>-699903.7132683545</v>
      </c>
    </row>
    <row r="41" spans="1:11" ht="15.75" customHeight="1">
      <c r="A41" s="26"/>
      <c r="B41" s="26"/>
      <c r="C41" s="11"/>
      <c r="D41" s="15"/>
      <c r="E41" s="11"/>
      <c r="F41" s="15"/>
      <c r="G41" s="11"/>
      <c r="H41" s="15"/>
      <c r="I41" s="11"/>
      <c r="J41" s="15"/>
      <c r="K41" s="11"/>
    </row>
    <row r="42" spans="2:11" ht="15.75" customHeight="1">
      <c r="B42" s="26" t="s">
        <v>94</v>
      </c>
      <c r="C42" s="12">
        <f>'Table 3A'!C42+'Table 3B'!C42</f>
        <v>0</v>
      </c>
      <c r="D42" s="16"/>
      <c r="E42" s="12">
        <f>'Table 3A'!E42+'Table 3B'!E42</f>
        <v>0</v>
      </c>
      <c r="F42" s="16"/>
      <c r="G42" s="12">
        <f>'Table 3A'!G42+'Table 3B'!G42</f>
        <v>0</v>
      </c>
      <c r="H42" s="16"/>
      <c r="I42" s="12">
        <f>'Table 3A'!I42+'Table 3B'!I42</f>
        <v>0</v>
      </c>
      <c r="J42" s="16"/>
      <c r="K42" s="12">
        <f>'Table 3A'!K42+'Table 3B'!K42</f>
        <v>0</v>
      </c>
    </row>
    <row r="43" spans="1:11" ht="15.75" customHeight="1">
      <c r="A43" s="26"/>
      <c r="B43" s="26"/>
      <c r="C43" s="31"/>
      <c r="D43" s="28"/>
      <c r="E43" s="31"/>
      <c r="F43" s="28"/>
      <c r="G43" s="31"/>
      <c r="H43" s="28"/>
      <c r="I43" s="31"/>
      <c r="J43" s="28"/>
      <c r="K43" s="31"/>
    </row>
    <row r="44" spans="1:11" ht="15.75" customHeight="1" thickBot="1">
      <c r="A44" s="1" t="s">
        <v>95</v>
      </c>
      <c r="B44" s="26"/>
      <c r="C44" s="35">
        <f>C40+C42</f>
        <v>1368976</v>
      </c>
      <c r="D44" s="34"/>
      <c r="E44" s="35">
        <f>E40+E42</f>
        <v>330121.5</v>
      </c>
      <c r="F44" s="34"/>
      <c r="G44" s="35">
        <f>G40+G42</f>
        <v>204329.97666665912</v>
      </c>
      <c r="H44" s="34"/>
      <c r="I44" s="35">
        <f>I40+I42</f>
        <v>-692303.4210333377</v>
      </c>
      <c r="J44" s="34"/>
      <c r="K44" s="35">
        <f>K40+K42</f>
        <v>-699903.7132683545</v>
      </c>
    </row>
    <row r="45" spans="1:11" ht="15.75" customHeight="1" thickTop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0" ht="15.75" customHeight="1">
      <c r="A46" s="26"/>
      <c r="B46" s="26"/>
      <c r="F46" s="26"/>
      <c r="H46" s="26"/>
      <c r="J46" s="26"/>
    </row>
    <row r="47" spans="1:10" ht="15.75" customHeight="1">
      <c r="A47" s="26" t="s">
        <v>73</v>
      </c>
      <c r="B47" s="26"/>
      <c r="F47" s="26"/>
      <c r="H47" s="26"/>
      <c r="J47" s="26"/>
    </row>
    <row r="48" spans="1:10" ht="12.75">
      <c r="A48" s="26"/>
      <c r="B48" s="26"/>
      <c r="F48" s="26"/>
      <c r="H48" s="26"/>
      <c r="J48" s="26"/>
    </row>
    <row r="49" ht="12.75">
      <c r="H49" s="26"/>
    </row>
    <row r="50" ht="12.75">
      <c r="H50" s="26"/>
    </row>
  </sheetData>
  <sheetProtection/>
  <mergeCells count="5">
    <mergeCell ref="A5:K5"/>
    <mergeCell ref="A1:K1"/>
    <mergeCell ref="A2:K2"/>
    <mergeCell ref="A3:K3"/>
    <mergeCell ref="A4:K4"/>
  </mergeCells>
  <printOptions horizontalCentered="1"/>
  <pageMargins left="0.25" right="0.25" top="1" bottom="0.75" header="0.5" footer="0.5"/>
  <pageSetup fitToHeight="1" fitToWidth="1" horizontalDpi="600" verticalDpi="600" orientation="portrait" scale="92" r:id="rId1"/>
  <headerFooter alignWithMargins="0">
    <oddHeader>&amp;L&amp;11NOTE: This table requires no 'fill-in' as it is populated automatically from Tables 3A &amp;&amp; 3B.</oddHeader>
    <oddFooter>&amp;L&amp;D
Health Care Administration&amp;R&amp;F,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zoomScale="85" zoomScaleNormal="85" zoomScalePageLayoutView="0" workbookViewId="0" topLeftCell="A1">
      <pane ySplit="9" topLeftCell="A15" activePane="bottomLeft" state="frozen"/>
      <selection pane="topLeft" activeCell="A1" sqref="A1"/>
      <selection pane="bottomLeft" activeCell="A10" sqref="A10:IV10"/>
    </sheetView>
  </sheetViews>
  <sheetFormatPr defaultColWidth="9.140625" defaultRowHeight="12.75"/>
  <cols>
    <col min="1" max="1" width="2.7109375" style="0" customWidth="1"/>
    <col min="2" max="2" width="35.421875" style="0" customWidth="1"/>
    <col min="3" max="3" width="13.8515625" style="0" customWidth="1"/>
    <col min="4" max="4" width="1.8515625" style="0" customWidth="1"/>
    <col min="5" max="5" width="13.8515625" style="0" customWidth="1"/>
    <col min="6" max="6" width="1.8515625" style="0" customWidth="1"/>
    <col min="7" max="7" width="13.8515625" style="0" customWidth="1"/>
    <col min="8" max="8" width="1.8515625" style="0" customWidth="1"/>
    <col min="9" max="9" width="13.8515625" style="0" customWidth="1"/>
    <col min="10" max="10" width="1.8515625" style="0" customWidth="1"/>
    <col min="11" max="11" width="13.8515625" style="0" customWidth="1"/>
    <col min="12" max="12" width="36.28125" style="0" bestFit="1" customWidth="1"/>
  </cols>
  <sheetData>
    <row r="1" spans="1:11" ht="15.75">
      <c r="A1" s="190" t="str">
        <f>'Table 1'!A1</f>
        <v>50 Granview Dr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5.75">
      <c r="A2" s="190" t="str">
        <f>'Table 1'!A2</f>
        <v>WCMHS Infrastructure Improvement Project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ht="14.25">
      <c r="A3" s="193" t="s">
        <v>180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</row>
    <row r="4" spans="1:11" ht="14.25">
      <c r="A4" s="193" t="s">
        <v>96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</row>
    <row r="5" spans="1:11" ht="14.25">
      <c r="A5" s="193" t="s">
        <v>71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</row>
    <row r="6" ht="13.5" customHeight="1"/>
    <row r="7" spans="3:11" ht="13.5" customHeight="1">
      <c r="C7" s="1"/>
      <c r="D7" s="1"/>
      <c r="E7" s="13"/>
      <c r="F7" s="1"/>
      <c r="G7" s="13" t="s">
        <v>0</v>
      </c>
      <c r="H7" s="26"/>
      <c r="I7" s="13" t="s">
        <v>0</v>
      </c>
      <c r="J7" s="26"/>
      <c r="K7" s="13" t="s">
        <v>0</v>
      </c>
    </row>
    <row r="8" spans="1:11" ht="13.5" customHeight="1">
      <c r="A8" s="1" t="s">
        <v>99</v>
      </c>
      <c r="C8" s="13" t="s">
        <v>70</v>
      </c>
      <c r="D8" s="29"/>
      <c r="E8" s="13" t="s">
        <v>179</v>
      </c>
      <c r="F8" s="29"/>
      <c r="G8" s="13" t="s">
        <v>1</v>
      </c>
      <c r="H8" s="29"/>
      <c r="I8" s="13" t="s">
        <v>2</v>
      </c>
      <c r="J8" s="29"/>
      <c r="K8" s="13" t="s">
        <v>3</v>
      </c>
    </row>
    <row r="9" spans="3:11" ht="13.5" customHeight="1">
      <c r="C9" s="168">
        <v>2023</v>
      </c>
      <c r="D9" s="30"/>
      <c r="E9" s="14">
        <f>C9+1</f>
        <v>2024</v>
      </c>
      <c r="F9" s="30"/>
      <c r="G9" s="14">
        <f>E9+1</f>
        <v>2025</v>
      </c>
      <c r="H9" s="30"/>
      <c r="I9" s="14">
        <f>G9+1</f>
        <v>2026</v>
      </c>
      <c r="J9" s="30"/>
      <c r="K9" s="14">
        <f>I9+1</f>
        <v>2027</v>
      </c>
    </row>
    <row r="10" spans="1:10" ht="13.5" customHeight="1">
      <c r="A10" s="1" t="s">
        <v>100</v>
      </c>
      <c r="B10" s="26"/>
      <c r="D10" s="26"/>
      <c r="F10" s="26"/>
      <c r="H10" s="26"/>
      <c r="J10" s="26"/>
    </row>
    <row r="11" spans="1:12" ht="13.5" customHeight="1">
      <c r="A11" s="26"/>
      <c r="B11" s="25" t="s">
        <v>101</v>
      </c>
      <c r="C11" s="174">
        <v>11757910</v>
      </c>
      <c r="D11" s="175"/>
      <c r="E11" s="174">
        <f>11757910+222386</f>
        <v>11980296</v>
      </c>
      <c r="F11" s="175"/>
      <c r="G11" s="174">
        <f>11757910+437543</f>
        <v>12195453</v>
      </c>
      <c r="H11" s="175"/>
      <c r="I11" s="174">
        <f>11757910+630288</f>
        <v>12388198</v>
      </c>
      <c r="J11" s="175"/>
      <c r="K11" s="174">
        <f>11757910+810431</f>
        <v>12568341</v>
      </c>
      <c r="L11" s="26"/>
    </row>
    <row r="12" spans="1:11" ht="13.5" customHeight="1">
      <c r="A12" s="26"/>
      <c r="B12" s="25" t="s">
        <v>102</v>
      </c>
      <c r="C12" s="176">
        <v>4472254</v>
      </c>
      <c r="D12" s="175"/>
      <c r="E12" s="176">
        <v>4472254</v>
      </c>
      <c r="F12" s="175"/>
      <c r="G12" s="176">
        <v>4472254</v>
      </c>
      <c r="H12" s="175"/>
      <c r="I12" s="176">
        <v>4472254</v>
      </c>
      <c r="J12" s="175"/>
      <c r="K12" s="176">
        <v>4472254</v>
      </c>
    </row>
    <row r="13" spans="1:11" ht="13.5" customHeight="1">
      <c r="A13" s="26"/>
      <c r="B13" s="41" t="s">
        <v>103</v>
      </c>
      <c r="C13" s="176"/>
      <c r="D13" s="175"/>
      <c r="E13" s="176"/>
      <c r="F13" s="175"/>
      <c r="G13" s="176"/>
      <c r="H13" s="175"/>
      <c r="I13" s="176"/>
      <c r="J13" s="175"/>
      <c r="K13" s="176"/>
    </row>
    <row r="14" spans="1:11" ht="13.5" customHeight="1">
      <c r="A14" s="26"/>
      <c r="B14" s="25" t="s">
        <v>104</v>
      </c>
      <c r="C14" s="176"/>
      <c r="D14" s="175"/>
      <c r="E14" s="176"/>
      <c r="F14" s="175"/>
      <c r="G14" s="176"/>
      <c r="H14" s="175"/>
      <c r="I14" s="176"/>
      <c r="J14" s="175"/>
      <c r="K14" s="176"/>
    </row>
    <row r="15" spans="1:11" ht="13.5" customHeight="1">
      <c r="A15" s="26"/>
      <c r="B15" s="25" t="s">
        <v>105</v>
      </c>
      <c r="C15" s="172">
        <v>932004</v>
      </c>
      <c r="D15" s="177"/>
      <c r="E15" s="172">
        <v>932005</v>
      </c>
      <c r="F15" s="177"/>
      <c r="G15" s="172">
        <v>932006</v>
      </c>
      <c r="H15" s="177"/>
      <c r="I15" s="172">
        <v>932007</v>
      </c>
      <c r="J15" s="177"/>
      <c r="K15" s="172">
        <v>932009</v>
      </c>
    </row>
    <row r="16" spans="1:11" ht="13.5" customHeight="1">
      <c r="A16" s="26"/>
      <c r="B16" s="26"/>
      <c r="C16" s="31"/>
      <c r="D16" s="28"/>
      <c r="E16" s="31"/>
      <c r="F16" s="28"/>
      <c r="G16" s="31"/>
      <c r="H16" s="28"/>
      <c r="I16" s="31"/>
      <c r="J16" s="28"/>
      <c r="K16" s="31"/>
    </row>
    <row r="17" spans="2:11" ht="13.5" customHeight="1">
      <c r="B17" s="1" t="s">
        <v>106</v>
      </c>
      <c r="C17" s="32">
        <f>SUM(C11:C15)</f>
        <v>17162168</v>
      </c>
      <c r="D17" s="16"/>
      <c r="E17" s="32">
        <f>SUM(E11:E15)</f>
        <v>17384555</v>
      </c>
      <c r="F17" s="16"/>
      <c r="G17" s="32">
        <f>SUM(G11:G15)</f>
        <v>17599713</v>
      </c>
      <c r="H17" s="16"/>
      <c r="I17" s="32">
        <f>SUM(I11:I15)</f>
        <v>17792459</v>
      </c>
      <c r="J17" s="16"/>
      <c r="K17" s="32">
        <f>SUM(K11:K15)</f>
        <v>17972604</v>
      </c>
    </row>
    <row r="18" spans="1:11" ht="13.5" customHeight="1">
      <c r="A18" s="26"/>
      <c r="B18" s="26"/>
      <c r="C18" s="22"/>
      <c r="D18" s="22"/>
      <c r="E18" s="22"/>
      <c r="F18" s="22"/>
      <c r="G18" s="22"/>
      <c r="H18" s="22"/>
      <c r="I18" s="22"/>
      <c r="J18" s="22"/>
      <c r="K18" s="22"/>
    </row>
    <row r="19" spans="1:11" ht="13.5" customHeight="1">
      <c r="A19" s="1" t="s">
        <v>107</v>
      </c>
      <c r="B19" s="26"/>
      <c r="C19" s="38"/>
      <c r="D19" s="28"/>
      <c r="E19" s="38"/>
      <c r="F19" s="28"/>
      <c r="G19" s="38"/>
      <c r="H19" s="28"/>
      <c r="I19" s="38"/>
      <c r="J19" s="28"/>
      <c r="K19" s="38"/>
    </row>
    <row r="20" spans="1:12" ht="13.5" customHeight="1">
      <c r="A20" s="26"/>
      <c r="B20" s="25" t="s">
        <v>41</v>
      </c>
      <c r="C20" s="174">
        <v>0</v>
      </c>
      <c r="D20" s="175"/>
      <c r="E20" s="174">
        <v>0</v>
      </c>
      <c r="F20" s="175"/>
      <c r="G20" s="174">
        <v>0</v>
      </c>
      <c r="H20" s="175"/>
      <c r="I20" s="174">
        <v>0</v>
      </c>
      <c r="J20" s="175"/>
      <c r="K20" s="174">
        <v>0</v>
      </c>
      <c r="L20" s="26"/>
    </row>
    <row r="21" spans="1:11" ht="13.5" customHeight="1">
      <c r="A21" s="26"/>
      <c r="B21" s="25" t="s">
        <v>108</v>
      </c>
      <c r="C21" s="176"/>
      <c r="D21" s="175"/>
      <c r="E21" s="176"/>
      <c r="F21" s="175"/>
      <c r="G21" s="176"/>
      <c r="H21" s="175"/>
      <c r="I21" s="176"/>
      <c r="J21" s="175"/>
      <c r="K21" s="176"/>
    </row>
    <row r="22" spans="1:11" ht="13.5" customHeight="1">
      <c r="A22" s="26"/>
      <c r="B22" s="25" t="s">
        <v>21</v>
      </c>
      <c r="C22" s="172"/>
      <c r="D22" s="177"/>
      <c r="E22" s="172"/>
      <c r="F22" s="177"/>
      <c r="G22" s="172"/>
      <c r="H22" s="177"/>
      <c r="I22" s="172"/>
      <c r="J22" s="177"/>
      <c r="K22" s="172"/>
    </row>
    <row r="23" spans="1:11" ht="13.5" customHeight="1">
      <c r="A23" s="26"/>
      <c r="B23" s="26"/>
      <c r="C23" s="38"/>
      <c r="D23" s="28"/>
      <c r="E23" s="38"/>
      <c r="F23" s="28"/>
      <c r="G23" s="38"/>
      <c r="H23" s="28"/>
      <c r="I23" s="38"/>
      <c r="J23" s="28"/>
      <c r="K23" s="38"/>
    </row>
    <row r="24" spans="1:11" ht="13.5" customHeight="1">
      <c r="A24" s="26"/>
      <c r="B24" s="1" t="s">
        <v>109</v>
      </c>
      <c r="C24" s="32">
        <f>SUM(C20:C22)</f>
        <v>0</v>
      </c>
      <c r="D24" s="16"/>
      <c r="E24" s="32">
        <f>SUM(E20:E22)</f>
        <v>0</v>
      </c>
      <c r="F24" s="16"/>
      <c r="G24" s="32">
        <f>SUM(G20:G22)</f>
        <v>0</v>
      </c>
      <c r="H24" s="16"/>
      <c r="I24" s="32">
        <f>SUM(I20:I22)</f>
        <v>0</v>
      </c>
      <c r="J24" s="16"/>
      <c r="K24" s="32">
        <f>SUM(K20:K22)</f>
        <v>0</v>
      </c>
    </row>
    <row r="25" spans="1:11" ht="13.5" customHeight="1">
      <c r="A25" s="26"/>
      <c r="B25" s="26"/>
      <c r="C25" s="31"/>
      <c r="D25" s="28"/>
      <c r="E25" s="31"/>
      <c r="F25" s="28"/>
      <c r="G25" s="31"/>
      <c r="H25" s="28"/>
      <c r="I25" s="31"/>
      <c r="J25" s="28"/>
      <c r="K25" s="31"/>
    </row>
    <row r="26" spans="1:11" ht="13.5" customHeight="1">
      <c r="A26" s="1" t="s">
        <v>110</v>
      </c>
      <c r="B26" s="26"/>
      <c r="C26" s="38"/>
      <c r="D26" s="28"/>
      <c r="E26" s="38"/>
      <c r="F26" s="28"/>
      <c r="G26" s="38"/>
      <c r="H26" s="28"/>
      <c r="I26" s="38"/>
      <c r="J26" s="28"/>
      <c r="K26" s="38"/>
    </row>
    <row r="27" spans="1:11" ht="13.5" customHeight="1">
      <c r="A27" s="26"/>
      <c r="B27" s="25" t="s">
        <v>111</v>
      </c>
      <c r="C27" s="174">
        <v>28995250</v>
      </c>
      <c r="D27" s="175"/>
      <c r="E27" s="174">
        <v>28995250</v>
      </c>
      <c r="F27" s="175"/>
      <c r="G27" s="174">
        <v>28995250</v>
      </c>
      <c r="H27" s="175"/>
      <c r="I27" s="174">
        <v>28995250</v>
      </c>
      <c r="J27" s="175"/>
      <c r="K27" s="174">
        <v>28995250</v>
      </c>
    </row>
    <row r="28" spans="1:12" ht="13.5" customHeight="1">
      <c r="A28" s="26"/>
      <c r="B28" s="25" t="s">
        <v>11</v>
      </c>
      <c r="C28" s="176"/>
      <c r="D28" s="175"/>
      <c r="E28" s="176"/>
      <c r="F28" s="175"/>
      <c r="G28" s="176"/>
      <c r="H28" s="175"/>
      <c r="I28" s="176"/>
      <c r="J28" s="175"/>
      <c r="K28" s="176"/>
      <c r="L28" s="26"/>
    </row>
    <row r="29" spans="1:11" ht="13.5" customHeight="1">
      <c r="A29" s="26"/>
      <c r="B29" s="25" t="s">
        <v>15</v>
      </c>
      <c r="C29" s="176"/>
      <c r="D29" s="175"/>
      <c r="E29" s="176"/>
      <c r="F29" s="175"/>
      <c r="G29" s="176"/>
      <c r="H29" s="175"/>
      <c r="I29" s="176"/>
      <c r="J29" s="175"/>
      <c r="K29" s="176"/>
    </row>
    <row r="30" spans="1:12" ht="13.5" customHeight="1">
      <c r="A30" s="26"/>
      <c r="B30" s="25" t="s">
        <v>112</v>
      </c>
      <c r="C30" s="172"/>
      <c r="D30" s="177"/>
      <c r="E30" s="172"/>
      <c r="F30" s="177"/>
      <c r="G30" s="172"/>
      <c r="H30" s="177"/>
      <c r="I30" s="172"/>
      <c r="J30" s="177"/>
      <c r="K30" s="172"/>
      <c r="L30" s="26"/>
    </row>
    <row r="31" spans="1:11" ht="13.5" customHeight="1">
      <c r="A31" s="26"/>
      <c r="B31" s="1" t="s">
        <v>113</v>
      </c>
      <c r="C31" s="32">
        <f>SUM(C27:C30)</f>
        <v>28995250</v>
      </c>
      <c r="D31" s="16"/>
      <c r="E31" s="32">
        <f>SUM(E27:E30)</f>
        <v>28995250</v>
      </c>
      <c r="F31" s="16"/>
      <c r="G31" s="32">
        <f>SUM(G27:G30)</f>
        <v>28995250</v>
      </c>
      <c r="H31" s="16"/>
      <c r="I31" s="32">
        <f>SUM(I27:I30)</f>
        <v>28995250</v>
      </c>
      <c r="J31" s="16"/>
      <c r="K31" s="32">
        <f>SUM(K27:K30)</f>
        <v>28995250</v>
      </c>
    </row>
    <row r="32" spans="1:11" ht="13.5" customHeight="1">
      <c r="A32" s="26"/>
      <c r="B32" s="26"/>
      <c r="C32" s="31"/>
      <c r="D32" s="28"/>
      <c r="E32" s="31"/>
      <c r="F32" s="28"/>
      <c r="G32" s="31"/>
      <c r="H32" s="28"/>
      <c r="I32" s="31"/>
      <c r="J32" s="28"/>
      <c r="K32" s="31"/>
    </row>
    <row r="33" spans="1:11" ht="13.5" customHeight="1">
      <c r="A33" s="1" t="s">
        <v>114</v>
      </c>
      <c r="B33" s="26"/>
      <c r="C33" s="31"/>
      <c r="D33" s="28"/>
      <c r="E33" s="31"/>
      <c r="F33" s="28"/>
      <c r="G33" s="31"/>
      <c r="H33" s="28"/>
      <c r="I33" s="31"/>
      <c r="J33" s="28"/>
      <c r="K33" s="31"/>
    </row>
    <row r="34" spans="1:11" ht="13.5" customHeight="1">
      <c r="A34" s="26"/>
      <c r="B34" s="25" t="s">
        <v>111</v>
      </c>
      <c r="C34" s="174">
        <v>-13891702</v>
      </c>
      <c r="D34" s="175"/>
      <c r="E34" s="174">
        <f>C34-1196486</f>
        <v>-15088188</v>
      </c>
      <c r="F34" s="175"/>
      <c r="G34" s="174">
        <f>E34-1196486</f>
        <v>-16284674</v>
      </c>
      <c r="H34" s="175"/>
      <c r="I34" s="174">
        <f>G34-1196486</f>
        <v>-17481160</v>
      </c>
      <c r="J34" s="175"/>
      <c r="K34" s="174">
        <f>I34-1196486</f>
        <v>-18677646</v>
      </c>
    </row>
    <row r="35" spans="1:11" ht="13.5" customHeight="1">
      <c r="A35" s="26"/>
      <c r="B35" s="25" t="s">
        <v>11</v>
      </c>
      <c r="C35" s="176"/>
      <c r="D35" s="175"/>
      <c r="E35" s="176"/>
      <c r="F35" s="175"/>
      <c r="G35" s="176"/>
      <c r="H35" s="175"/>
      <c r="I35" s="176"/>
      <c r="J35" s="175"/>
      <c r="K35" s="176"/>
    </row>
    <row r="36" spans="1:11" ht="13.5" customHeight="1">
      <c r="A36" s="26"/>
      <c r="B36" s="25" t="s">
        <v>15</v>
      </c>
      <c r="C36" s="172"/>
      <c r="D36" s="177"/>
      <c r="E36" s="172"/>
      <c r="F36" s="177"/>
      <c r="G36" s="172"/>
      <c r="H36" s="177"/>
      <c r="I36" s="172"/>
      <c r="J36" s="177"/>
      <c r="K36" s="172"/>
    </row>
    <row r="37" spans="1:12" ht="13.5" customHeight="1">
      <c r="A37" s="26"/>
      <c r="B37" s="1" t="s">
        <v>115</v>
      </c>
      <c r="C37" s="32">
        <f>SUM(C34:C36)</f>
        <v>-13891702</v>
      </c>
      <c r="D37" s="16"/>
      <c r="E37" s="32">
        <f>SUM(E34:E36)</f>
        <v>-15088188</v>
      </c>
      <c r="F37" s="16"/>
      <c r="G37" s="32">
        <f>SUM(G34:G36)</f>
        <v>-16284674</v>
      </c>
      <c r="H37" s="16"/>
      <c r="I37" s="32">
        <f>SUM(I34:I36)</f>
        <v>-17481160</v>
      </c>
      <c r="J37" s="16"/>
      <c r="K37" s="32">
        <f>SUM(K34:K36)</f>
        <v>-18677646</v>
      </c>
      <c r="L37" s="185"/>
    </row>
    <row r="38" spans="1:11" ht="13.5" customHeight="1">
      <c r="A38" s="26"/>
      <c r="B38" s="26"/>
      <c r="C38" s="38"/>
      <c r="D38" s="28"/>
      <c r="E38" s="38"/>
      <c r="F38" s="28"/>
      <c r="G38" s="38"/>
      <c r="H38" s="28"/>
      <c r="I38" s="38"/>
      <c r="J38" s="28"/>
      <c r="K38" s="38"/>
    </row>
    <row r="39" spans="1:11" ht="13.5" customHeight="1">
      <c r="A39" s="1" t="s">
        <v>116</v>
      </c>
      <c r="C39" s="38">
        <f>C31+C37</f>
        <v>15103548</v>
      </c>
      <c r="D39" s="28"/>
      <c r="E39" s="38">
        <f>E31+E37</f>
        <v>13907062</v>
      </c>
      <c r="F39" s="28"/>
      <c r="G39" s="38">
        <f>G31+G37</f>
        <v>12710576</v>
      </c>
      <c r="H39" s="28"/>
      <c r="I39" s="38">
        <f>I31+I37</f>
        <v>11514090</v>
      </c>
      <c r="J39" s="28"/>
      <c r="K39" s="38">
        <f>K31+K37</f>
        <v>10317604</v>
      </c>
    </row>
    <row r="40" spans="1:11" ht="13.5" customHeight="1">
      <c r="A40" s="26"/>
      <c r="B40" s="26"/>
      <c r="C40" s="38"/>
      <c r="D40" s="28"/>
      <c r="E40" s="38"/>
      <c r="F40" s="28"/>
      <c r="G40" s="38"/>
      <c r="H40" s="28"/>
      <c r="I40" s="38"/>
      <c r="J40" s="28"/>
      <c r="K40" s="38"/>
    </row>
    <row r="41" spans="1:11" ht="13.5" customHeight="1">
      <c r="A41" s="42" t="s">
        <v>117</v>
      </c>
      <c r="B41" s="25"/>
      <c r="C41" s="178">
        <v>0</v>
      </c>
      <c r="D41" s="177"/>
      <c r="E41" s="178">
        <v>0</v>
      </c>
      <c r="F41" s="177"/>
      <c r="G41" s="178">
        <v>0</v>
      </c>
      <c r="H41" s="177"/>
      <c r="I41" s="178">
        <v>0</v>
      </c>
      <c r="J41" s="177"/>
      <c r="K41" s="178">
        <v>0</v>
      </c>
    </row>
    <row r="42" spans="1:11" ht="13.5" customHeight="1">
      <c r="A42" s="26"/>
      <c r="B42" s="26"/>
      <c r="C42" s="31"/>
      <c r="D42" s="28"/>
      <c r="E42" s="31"/>
      <c r="F42" s="28"/>
      <c r="G42" s="31"/>
      <c r="H42" s="28"/>
      <c r="I42" s="31"/>
      <c r="J42" s="28"/>
      <c r="K42" s="31"/>
    </row>
    <row r="43" spans="1:11" ht="13.5" customHeight="1">
      <c r="A43" s="26"/>
      <c r="B43" s="26"/>
      <c r="C43" s="31"/>
      <c r="D43" s="28"/>
      <c r="E43" s="31"/>
      <c r="F43" s="28"/>
      <c r="G43" s="31"/>
      <c r="H43" s="28"/>
      <c r="I43" s="31"/>
      <c r="J43" s="28"/>
      <c r="K43" s="31"/>
    </row>
    <row r="44" spans="1:11" ht="13.5" customHeight="1" thickBot="1">
      <c r="A44" s="1" t="s">
        <v>97</v>
      </c>
      <c r="B44" s="26"/>
      <c r="C44" s="43">
        <f>C17+C24+C39+C41</f>
        <v>32265716</v>
      </c>
      <c r="D44" s="44"/>
      <c r="E44" s="43">
        <f>E17+E24+E39+E41</f>
        <v>31291617</v>
      </c>
      <c r="F44" s="44"/>
      <c r="G44" s="43">
        <f>G17+G24+G39+G41</f>
        <v>30310289</v>
      </c>
      <c r="H44" s="44"/>
      <c r="I44" s="43">
        <f>I17+I24+I39+I41</f>
        <v>29306549</v>
      </c>
      <c r="J44" s="44"/>
      <c r="K44" s="43">
        <f>K17+K24+K39+K41</f>
        <v>28290208</v>
      </c>
    </row>
    <row r="45" spans="1:11" ht="13.5" customHeight="1" thickTop="1">
      <c r="A45" s="26"/>
      <c r="B45" s="26"/>
      <c r="C45" s="22"/>
      <c r="D45" s="22"/>
      <c r="E45" s="22"/>
      <c r="F45" s="22"/>
      <c r="G45" s="22"/>
      <c r="H45" s="22"/>
      <c r="I45" s="22"/>
      <c r="J45" s="22"/>
      <c r="K45" s="22"/>
    </row>
    <row r="46" spans="1:11" ht="13.5" customHeight="1">
      <c r="A46" s="26"/>
      <c r="B46" s="26"/>
      <c r="C46" s="22"/>
      <c r="D46" s="22"/>
      <c r="E46" s="22"/>
      <c r="F46" s="22"/>
      <c r="G46" s="22"/>
      <c r="H46" s="22"/>
      <c r="I46" s="22"/>
      <c r="J46" s="22"/>
      <c r="K46" s="22"/>
    </row>
    <row r="47" spans="1:11" ht="13.5" customHeight="1">
      <c r="A47" s="26"/>
      <c r="B47" s="26"/>
      <c r="C47" s="22"/>
      <c r="D47" s="22"/>
      <c r="E47" s="22"/>
      <c r="F47" s="22"/>
      <c r="G47" s="22"/>
      <c r="H47" s="22"/>
      <c r="I47" s="22"/>
      <c r="J47" s="22"/>
      <c r="K47" s="22"/>
    </row>
    <row r="48" spans="1:11" ht="13.5" customHeight="1">
      <c r="A48" s="1" t="s">
        <v>118</v>
      </c>
      <c r="B48" s="26"/>
      <c r="C48" s="22"/>
      <c r="D48" s="22"/>
      <c r="E48" s="22"/>
      <c r="F48" s="22"/>
      <c r="G48" s="22"/>
      <c r="H48" s="22"/>
      <c r="I48" s="22"/>
      <c r="J48" s="22"/>
      <c r="K48" s="22"/>
    </row>
    <row r="49" spans="3:11" ht="13.5" customHeight="1">
      <c r="C49" s="22"/>
      <c r="D49" s="22"/>
      <c r="E49" s="22"/>
      <c r="F49" s="22"/>
      <c r="G49" s="22"/>
      <c r="H49" s="22"/>
      <c r="I49" s="22"/>
      <c r="J49" s="22"/>
      <c r="K49" s="22"/>
    </row>
    <row r="50" spans="1:11" ht="13.5" customHeight="1">
      <c r="A50" s="1" t="s">
        <v>119</v>
      </c>
      <c r="C50" s="22"/>
      <c r="D50" s="22"/>
      <c r="E50" s="22"/>
      <c r="F50" s="22"/>
      <c r="G50" s="22"/>
      <c r="H50" s="22"/>
      <c r="I50" s="22"/>
      <c r="J50" s="22"/>
      <c r="K50" s="22"/>
    </row>
    <row r="51" spans="2:11" ht="13.5" customHeight="1">
      <c r="B51" s="25" t="s">
        <v>120</v>
      </c>
      <c r="C51" s="174">
        <f>7471041-C52</f>
        <v>6876086</v>
      </c>
      <c r="D51" s="175"/>
      <c r="E51" s="174">
        <f>7471041-E52</f>
        <v>6876086</v>
      </c>
      <c r="F51" s="175"/>
      <c r="G51" s="174">
        <f>7471041-G52</f>
        <v>6876086</v>
      </c>
      <c r="H51" s="175"/>
      <c r="I51" s="174">
        <f>7471041-I52</f>
        <v>6876086</v>
      </c>
      <c r="J51" s="175"/>
      <c r="K51" s="174">
        <f>7471041-K52</f>
        <v>6876086</v>
      </c>
    </row>
    <row r="52" spans="2:12" ht="13.5" customHeight="1">
      <c r="B52" s="25" t="s">
        <v>121</v>
      </c>
      <c r="C52" s="176">
        <v>594955</v>
      </c>
      <c r="D52" s="175"/>
      <c r="E52" s="176">
        <v>594955</v>
      </c>
      <c r="F52" s="175"/>
      <c r="G52" s="176">
        <v>594955</v>
      </c>
      <c r="H52" s="175"/>
      <c r="I52" s="176">
        <v>594955</v>
      </c>
      <c r="J52" s="175"/>
      <c r="K52" s="176">
        <v>594955</v>
      </c>
      <c r="L52" s="26"/>
    </row>
    <row r="53" spans="2:11" ht="13.5" customHeight="1">
      <c r="B53" s="25" t="s">
        <v>122</v>
      </c>
      <c r="C53" s="176"/>
      <c r="D53" s="175"/>
      <c r="E53" s="176"/>
      <c r="F53" s="175"/>
      <c r="G53" s="176"/>
      <c r="H53" s="175"/>
      <c r="I53" s="176"/>
      <c r="J53" s="175"/>
      <c r="K53" s="176"/>
    </row>
    <row r="54" spans="2:11" ht="13.5" customHeight="1">
      <c r="B54" s="25" t="s">
        <v>123</v>
      </c>
      <c r="C54" s="176">
        <v>854902</v>
      </c>
      <c r="D54" s="175"/>
      <c r="E54" s="176">
        <f>C54</f>
        <v>854902</v>
      </c>
      <c r="F54" s="175"/>
      <c r="G54" s="176">
        <f>E54</f>
        <v>854902</v>
      </c>
      <c r="H54" s="175"/>
      <c r="I54" s="176">
        <f>G54</f>
        <v>854902</v>
      </c>
      <c r="J54" s="175"/>
      <c r="K54" s="176">
        <f>I54</f>
        <v>854902</v>
      </c>
    </row>
    <row r="55" spans="2:11" ht="13.5" customHeight="1">
      <c r="B55" s="25" t="s">
        <v>124</v>
      </c>
      <c r="C55" s="172">
        <v>420000</v>
      </c>
      <c r="D55" s="177"/>
      <c r="E55" s="172">
        <v>425000</v>
      </c>
      <c r="F55" s="177"/>
      <c r="G55" s="172">
        <v>435000</v>
      </c>
      <c r="H55" s="177"/>
      <c r="I55" s="172">
        <v>440000</v>
      </c>
      <c r="J55" s="177"/>
      <c r="K55" s="172">
        <v>445000</v>
      </c>
    </row>
    <row r="56" spans="2:11" ht="13.5" customHeight="1">
      <c r="B56" s="1" t="s">
        <v>125</v>
      </c>
      <c r="C56" s="32">
        <f>SUM(C51:C55)</f>
        <v>8745943</v>
      </c>
      <c r="D56" s="16"/>
      <c r="E56" s="32">
        <f>SUM(E51:E55)</f>
        <v>8750943</v>
      </c>
      <c r="F56" s="16"/>
      <c r="G56" s="32">
        <f>SUM(G51:G55)</f>
        <v>8760943</v>
      </c>
      <c r="H56" s="16"/>
      <c r="I56" s="32">
        <f>SUM(I51:I55)</f>
        <v>8765943</v>
      </c>
      <c r="J56" s="16"/>
      <c r="K56" s="32">
        <f>SUM(K51:K55)</f>
        <v>8770943</v>
      </c>
    </row>
    <row r="57" spans="3:11" ht="13.5" customHeight="1">
      <c r="C57" s="22"/>
      <c r="D57" s="22"/>
      <c r="E57" s="22"/>
      <c r="F57" s="22"/>
      <c r="G57" s="22"/>
      <c r="H57" s="22"/>
      <c r="I57" s="22"/>
      <c r="J57" s="22"/>
      <c r="K57" s="22"/>
    </row>
    <row r="58" spans="1:11" ht="13.5" customHeight="1">
      <c r="A58" s="1" t="s">
        <v>126</v>
      </c>
      <c r="C58" s="22"/>
      <c r="D58" s="22"/>
      <c r="E58" s="22"/>
      <c r="F58" s="22"/>
      <c r="G58" s="22"/>
      <c r="H58" s="22"/>
      <c r="I58" s="22"/>
      <c r="J58" s="22"/>
      <c r="K58" s="22"/>
    </row>
    <row r="59" spans="2:11" ht="13.5" customHeight="1">
      <c r="B59" s="25" t="s">
        <v>127</v>
      </c>
      <c r="C59" s="174">
        <f>4788878-C55</f>
        <v>4368878</v>
      </c>
      <c r="D59" s="175"/>
      <c r="E59" s="174">
        <f>C59-C55</f>
        <v>3948878</v>
      </c>
      <c r="F59" s="175"/>
      <c r="G59" s="174">
        <f>E59-E55</f>
        <v>3523878</v>
      </c>
      <c r="H59" s="175"/>
      <c r="I59" s="174">
        <f>G59-G55</f>
        <v>3088878</v>
      </c>
      <c r="J59" s="175"/>
      <c r="K59" s="174">
        <f>I59-I55</f>
        <v>2648878</v>
      </c>
    </row>
    <row r="60" spans="2:11" ht="13.5" customHeight="1">
      <c r="B60" s="25" t="s">
        <v>128</v>
      </c>
      <c r="C60" s="176">
        <v>0</v>
      </c>
      <c r="D60" s="175"/>
      <c r="E60" s="176">
        <v>0</v>
      </c>
      <c r="F60" s="175"/>
      <c r="G60" s="176">
        <v>0</v>
      </c>
      <c r="H60" s="175"/>
      <c r="I60" s="176">
        <v>0</v>
      </c>
      <c r="J60" s="175"/>
      <c r="K60" s="176">
        <v>0</v>
      </c>
    </row>
    <row r="61" spans="2:11" ht="13.5" customHeight="1">
      <c r="B61" s="25" t="s">
        <v>129</v>
      </c>
      <c r="C61" s="172">
        <v>0</v>
      </c>
      <c r="D61" s="177"/>
      <c r="E61" s="172">
        <v>0</v>
      </c>
      <c r="F61" s="177"/>
      <c r="G61" s="172">
        <v>0</v>
      </c>
      <c r="H61" s="177"/>
      <c r="I61" s="172">
        <v>0</v>
      </c>
      <c r="J61" s="177"/>
      <c r="K61" s="172">
        <v>0</v>
      </c>
    </row>
    <row r="62" spans="2:11" ht="13.5" customHeight="1">
      <c r="B62" s="1" t="s">
        <v>130</v>
      </c>
      <c r="C62" s="32">
        <f>SUM(C59:C61)</f>
        <v>4368878</v>
      </c>
      <c r="D62" s="16"/>
      <c r="E62" s="32">
        <f>SUM(E59:E61)</f>
        <v>3948878</v>
      </c>
      <c r="F62" s="16"/>
      <c r="G62" s="32">
        <f>SUM(G59:G61)</f>
        <v>3523878</v>
      </c>
      <c r="H62" s="16"/>
      <c r="I62" s="32">
        <f>SUM(I59:I61)</f>
        <v>3088878</v>
      </c>
      <c r="J62" s="16"/>
      <c r="K62" s="32">
        <f>SUM(K59:K61)</f>
        <v>2648878</v>
      </c>
    </row>
    <row r="63" spans="3:11" ht="13.5" customHeight="1">
      <c r="C63" s="22"/>
      <c r="D63" s="22"/>
      <c r="E63" s="22"/>
      <c r="F63" s="22"/>
      <c r="G63" s="22"/>
      <c r="H63" s="22"/>
      <c r="I63" s="22"/>
      <c r="J63" s="22"/>
      <c r="K63" s="22"/>
    </row>
    <row r="64" spans="1:11" ht="13.5" customHeight="1">
      <c r="A64" s="42" t="s">
        <v>131</v>
      </c>
      <c r="C64" s="178">
        <v>0</v>
      </c>
      <c r="D64" s="177"/>
      <c r="E64" s="178">
        <v>0</v>
      </c>
      <c r="F64" s="177"/>
      <c r="G64" s="178">
        <v>0</v>
      </c>
      <c r="H64" s="177"/>
      <c r="I64" s="178">
        <v>0</v>
      </c>
      <c r="J64" s="177"/>
      <c r="K64" s="178">
        <v>0</v>
      </c>
    </row>
    <row r="65" spans="3:11" ht="13.5" customHeight="1">
      <c r="C65" s="22"/>
      <c r="D65" s="22"/>
      <c r="E65" s="22"/>
      <c r="F65" s="22"/>
      <c r="G65" s="22"/>
      <c r="H65" s="22"/>
      <c r="I65" s="22"/>
      <c r="J65" s="22"/>
      <c r="K65" s="22"/>
    </row>
    <row r="66" spans="1:11" ht="13.5" customHeight="1">
      <c r="A66" s="1" t="s">
        <v>132</v>
      </c>
      <c r="C66" s="38">
        <f>C56+C62+C64</f>
        <v>13114821</v>
      </c>
      <c r="D66" s="28"/>
      <c r="E66" s="38">
        <f>E56+E62+E64</f>
        <v>12699821</v>
      </c>
      <c r="F66" s="28"/>
      <c r="G66" s="38">
        <f>G56+G62+G64</f>
        <v>12284821</v>
      </c>
      <c r="H66" s="28"/>
      <c r="I66" s="38">
        <f>I56+I62+I64</f>
        <v>11854821</v>
      </c>
      <c r="J66" s="28"/>
      <c r="K66" s="38">
        <f>K56+K62+K64</f>
        <v>11419821</v>
      </c>
    </row>
    <row r="67" spans="3:11" ht="13.5" customHeight="1">
      <c r="C67" s="22"/>
      <c r="D67" s="22"/>
      <c r="E67" s="22"/>
      <c r="F67" s="22"/>
      <c r="G67" s="22"/>
      <c r="H67" s="22"/>
      <c r="I67" s="22"/>
      <c r="J67" s="22"/>
      <c r="K67" s="22"/>
    </row>
    <row r="68" spans="1:12" ht="13.5" customHeight="1">
      <c r="A68" s="42" t="s">
        <v>133</v>
      </c>
      <c r="C68" s="178">
        <f>17781918+1368977.05</f>
        <v>19150895.05</v>
      </c>
      <c r="D68" s="177"/>
      <c r="E68" s="178">
        <f>C68+'Table 3A'!E44</f>
        <v>18591796.05</v>
      </c>
      <c r="F68" s="177"/>
      <c r="G68" s="178">
        <f>E68+'Table 3A'!G44</f>
        <v>18025468.259999994</v>
      </c>
      <c r="H68" s="177"/>
      <c r="I68" s="178">
        <f>G68+'Table 3A'!I44</f>
        <v>17451727.57229999</v>
      </c>
      <c r="J68" s="177"/>
      <c r="K68" s="178">
        <f>I68+'Table 3A'!K44</f>
        <v>16870386.592364985</v>
      </c>
      <c r="L68" s="26"/>
    </row>
    <row r="69" spans="3:11" ht="13.5" customHeight="1">
      <c r="C69" s="22"/>
      <c r="D69" s="22"/>
      <c r="E69" s="22"/>
      <c r="F69" s="22"/>
      <c r="G69" s="22"/>
      <c r="H69" s="22"/>
      <c r="I69" s="22"/>
      <c r="J69" s="22"/>
      <c r="K69" s="22"/>
    </row>
    <row r="70" spans="3:11" ht="13.5" customHeight="1">
      <c r="C70" s="22"/>
      <c r="D70" s="22"/>
      <c r="E70" s="22"/>
      <c r="F70" s="22"/>
      <c r="G70" s="22"/>
      <c r="H70" s="22"/>
      <c r="I70" s="22"/>
      <c r="J70" s="22"/>
      <c r="K70" s="22"/>
    </row>
    <row r="71" spans="1:11" ht="13.5" customHeight="1" thickBot="1">
      <c r="A71" s="1" t="s">
        <v>98</v>
      </c>
      <c r="C71" s="43">
        <f>C66+C68</f>
        <v>32265716.05</v>
      </c>
      <c r="D71" s="44"/>
      <c r="E71" s="43">
        <f>E66+E68</f>
        <v>31291617.05</v>
      </c>
      <c r="F71" s="44"/>
      <c r="G71" s="43">
        <f>G66+G68</f>
        <v>30310289.259999994</v>
      </c>
      <c r="H71" s="44"/>
      <c r="I71" s="43">
        <f>I66+I68</f>
        <v>29306548.57229999</v>
      </c>
      <c r="J71" s="44"/>
      <c r="K71" s="43">
        <f>K66+K68</f>
        <v>28290207.592364985</v>
      </c>
    </row>
    <row r="72" spans="3:11" ht="13.5" thickTop="1">
      <c r="C72" s="22"/>
      <c r="D72" s="22"/>
      <c r="E72" s="22"/>
      <c r="F72" s="22"/>
      <c r="G72" s="22"/>
      <c r="H72" s="22"/>
      <c r="I72" s="22"/>
      <c r="J72" s="22"/>
      <c r="K72" s="22"/>
    </row>
    <row r="73" spans="3:11" ht="12.75">
      <c r="C73" s="185">
        <f>C71-C44</f>
        <v>0.05000000074505806</v>
      </c>
      <c r="E73" s="185">
        <f>E71-E44</f>
        <v>0.05000000074505806</v>
      </c>
      <c r="G73" s="185">
        <f>G71-G44</f>
        <v>0.25999999418854713</v>
      </c>
      <c r="I73" s="185">
        <f>I71-I44</f>
        <v>-0.4277000091969967</v>
      </c>
      <c r="K73" s="185">
        <f>K71-K44</f>
        <v>-0.40763501450419426</v>
      </c>
    </row>
  </sheetData>
  <sheetProtection/>
  <mergeCells count="5">
    <mergeCell ref="A5:K5"/>
    <mergeCell ref="A1:K1"/>
    <mergeCell ref="A2:K2"/>
    <mergeCell ref="A3:K3"/>
    <mergeCell ref="A4:K4"/>
  </mergeCells>
  <printOptions horizontalCentered="1"/>
  <pageMargins left="0.25" right="0.25" top="0.75" bottom="0.75" header="0.5" footer="0.5"/>
  <pageSetup fitToHeight="1" fitToWidth="1" horizontalDpi="600" verticalDpi="600" orientation="portrait" scale="72" r:id="rId1"/>
  <headerFooter alignWithMargins="0">
    <oddHeader>&amp;L&amp;"Arial,Italic"&amp;12NOTE: When completing this table make entries in the shaded fields only.</oddHeader>
    <oddFooter>&amp;L&amp;D
Health Care Administration&amp;R&amp;F,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zoomScale="85" zoomScaleNormal="85" zoomScalePageLayoutView="0" workbookViewId="0" topLeftCell="A1">
      <pane ySplit="9" topLeftCell="A15" activePane="bottomLeft" state="frozen"/>
      <selection pane="topLeft" activeCell="A1" sqref="A1"/>
      <selection pane="bottomLeft" activeCell="A10" sqref="A10:IV10"/>
    </sheetView>
  </sheetViews>
  <sheetFormatPr defaultColWidth="9.140625" defaultRowHeight="12.75"/>
  <cols>
    <col min="1" max="1" width="2.7109375" style="0" customWidth="1"/>
    <col min="2" max="2" width="35.421875" style="0" customWidth="1"/>
    <col min="3" max="3" width="13.8515625" style="0" customWidth="1"/>
    <col min="4" max="4" width="1.8515625" style="0" customWidth="1"/>
    <col min="5" max="5" width="13.8515625" style="0" customWidth="1"/>
    <col min="6" max="6" width="1.8515625" style="0" customWidth="1"/>
    <col min="7" max="7" width="13.8515625" style="0" customWidth="1"/>
    <col min="8" max="8" width="1.8515625" style="0" customWidth="1"/>
    <col min="9" max="9" width="13.8515625" style="0" customWidth="1"/>
    <col min="10" max="10" width="1.8515625" style="0" customWidth="1"/>
    <col min="11" max="11" width="13.8515625" style="0" customWidth="1"/>
  </cols>
  <sheetData>
    <row r="1" spans="1:11" ht="15.75">
      <c r="A1" s="190" t="str">
        <f>'Table 1'!A1:C1</f>
        <v>50 Granview Dr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5.75">
      <c r="A2" s="190" t="str">
        <f>'Table 1'!A2:C2</f>
        <v>WCMHS Infrastructure Improvement Project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ht="14.25">
      <c r="A3" s="193" t="s">
        <v>181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</row>
    <row r="4" spans="1:11" ht="14.25">
      <c r="A4" s="193" t="s">
        <v>96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</row>
    <row r="5" spans="1:11" ht="14.25">
      <c r="A5" s="193" t="s">
        <v>74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</row>
    <row r="6" ht="13.5" customHeight="1"/>
    <row r="7" spans="3:11" ht="13.5" customHeight="1">
      <c r="C7" s="1"/>
      <c r="D7" s="1"/>
      <c r="E7" s="13"/>
      <c r="F7" s="1"/>
      <c r="G7" s="13" t="s">
        <v>0</v>
      </c>
      <c r="H7" s="26"/>
      <c r="I7" s="13" t="s">
        <v>0</v>
      </c>
      <c r="J7" s="26"/>
      <c r="K7" s="13" t="s">
        <v>0</v>
      </c>
    </row>
    <row r="8" spans="1:11" ht="13.5" customHeight="1">
      <c r="A8" s="1" t="s">
        <v>99</v>
      </c>
      <c r="C8" s="13" t="s">
        <v>70</v>
      </c>
      <c r="D8" s="29"/>
      <c r="E8" s="13" t="s">
        <v>179</v>
      </c>
      <c r="F8" s="29"/>
      <c r="G8" s="13" t="s">
        <v>1</v>
      </c>
      <c r="H8" s="29"/>
      <c r="I8" s="13" t="s">
        <v>2</v>
      </c>
      <c r="J8" s="29"/>
      <c r="K8" s="13" t="s">
        <v>3</v>
      </c>
    </row>
    <row r="9" spans="3:11" ht="13.5" customHeight="1">
      <c r="C9" s="14">
        <f>'Table 4A'!C9</f>
        <v>2023</v>
      </c>
      <c r="D9" s="30"/>
      <c r="E9" s="14">
        <f>C9+1</f>
        <v>2024</v>
      </c>
      <c r="F9" s="30"/>
      <c r="G9" s="14">
        <f>E9+1</f>
        <v>2025</v>
      </c>
      <c r="H9" s="30"/>
      <c r="I9" s="14">
        <f>G9+1</f>
        <v>2026</v>
      </c>
      <c r="J9" s="30"/>
      <c r="K9" s="14">
        <f>I9+1</f>
        <v>2027</v>
      </c>
    </row>
    <row r="10" spans="1:10" ht="13.5" customHeight="1">
      <c r="A10" s="1" t="s">
        <v>100</v>
      </c>
      <c r="B10" s="26"/>
      <c r="C10" s="129"/>
      <c r="D10" s="26"/>
      <c r="F10" s="26"/>
      <c r="H10" s="26"/>
      <c r="J10" s="26"/>
    </row>
    <row r="11" spans="1:11" ht="13.5" customHeight="1">
      <c r="A11" s="26"/>
      <c r="B11" s="25" t="s">
        <v>101</v>
      </c>
      <c r="C11" s="139"/>
      <c r="D11" s="39"/>
      <c r="E11" s="174">
        <v>0</v>
      </c>
      <c r="F11" s="175"/>
      <c r="G11" s="174"/>
      <c r="H11" s="175"/>
      <c r="I11" s="174">
        <v>0</v>
      </c>
      <c r="J11" s="175"/>
      <c r="K11" s="174">
        <v>0</v>
      </c>
    </row>
    <row r="12" spans="1:11" ht="13.5" customHeight="1">
      <c r="A12" s="26"/>
      <c r="B12" s="25" t="s">
        <v>102</v>
      </c>
      <c r="C12" s="139"/>
      <c r="D12" s="39"/>
      <c r="E12" s="176">
        <v>0</v>
      </c>
      <c r="F12" s="175"/>
      <c r="G12" s="176"/>
      <c r="H12" s="175"/>
      <c r="I12" s="176"/>
      <c r="J12" s="175"/>
      <c r="K12" s="176"/>
    </row>
    <row r="13" spans="1:11" ht="13.5" customHeight="1">
      <c r="A13" s="26"/>
      <c r="B13" s="41" t="s">
        <v>103</v>
      </c>
      <c r="C13" s="139"/>
      <c r="D13" s="39"/>
      <c r="E13" s="176">
        <v>0</v>
      </c>
      <c r="F13" s="175"/>
      <c r="G13" s="176"/>
      <c r="H13" s="175"/>
      <c r="I13" s="176"/>
      <c r="J13" s="175"/>
      <c r="K13" s="176"/>
    </row>
    <row r="14" spans="1:11" ht="13.5" customHeight="1">
      <c r="A14" s="26"/>
      <c r="B14" s="25" t="s">
        <v>104</v>
      </c>
      <c r="C14" s="139"/>
      <c r="D14" s="39"/>
      <c r="E14" s="176">
        <v>0</v>
      </c>
      <c r="F14" s="175"/>
      <c r="G14" s="176"/>
      <c r="H14" s="175"/>
      <c r="I14" s="176"/>
      <c r="J14" s="175"/>
      <c r="K14" s="176"/>
    </row>
    <row r="15" spans="1:11" ht="13.5" customHeight="1">
      <c r="A15" s="26"/>
      <c r="B15" s="25" t="s">
        <v>105</v>
      </c>
      <c r="C15" s="133"/>
      <c r="D15" s="40"/>
      <c r="E15" s="172">
        <v>0</v>
      </c>
      <c r="F15" s="177"/>
      <c r="G15" s="172">
        <v>0</v>
      </c>
      <c r="H15" s="177"/>
      <c r="I15" s="172">
        <v>0</v>
      </c>
      <c r="J15" s="177"/>
      <c r="K15" s="172">
        <v>0</v>
      </c>
    </row>
    <row r="16" spans="1:11" ht="13.5" customHeight="1">
      <c r="A16" s="26"/>
      <c r="B16" s="26"/>
      <c r="C16" s="140"/>
      <c r="D16" s="28"/>
      <c r="E16" s="31"/>
      <c r="F16" s="28"/>
      <c r="G16" s="31"/>
      <c r="H16" s="28"/>
      <c r="I16" s="31"/>
      <c r="J16" s="28"/>
      <c r="K16" s="31"/>
    </row>
    <row r="17" spans="2:11" ht="13.5" customHeight="1">
      <c r="B17" s="1" t="s">
        <v>106</v>
      </c>
      <c r="C17" s="141"/>
      <c r="D17" s="16"/>
      <c r="E17" s="32">
        <f>SUM(E11:E15)</f>
        <v>0</v>
      </c>
      <c r="F17" s="16"/>
      <c r="G17" s="32"/>
      <c r="H17" s="16"/>
      <c r="I17" s="32">
        <f>SUM(I11:I15)</f>
        <v>0</v>
      </c>
      <c r="J17" s="16"/>
      <c r="K17" s="32">
        <f>SUM(K11:K15)</f>
        <v>0</v>
      </c>
    </row>
    <row r="18" spans="1:11" ht="13.5" customHeight="1">
      <c r="A18" s="26"/>
      <c r="B18" s="26"/>
      <c r="C18" s="142"/>
      <c r="D18" s="22"/>
      <c r="E18" s="22"/>
      <c r="F18" s="22"/>
      <c r="G18" s="22"/>
      <c r="H18" s="22"/>
      <c r="I18" s="22"/>
      <c r="J18" s="22"/>
      <c r="K18" s="22"/>
    </row>
    <row r="19" spans="1:11" ht="13.5" customHeight="1">
      <c r="A19" s="1" t="s">
        <v>107</v>
      </c>
      <c r="B19" s="26"/>
      <c r="C19" s="143"/>
      <c r="D19" s="28"/>
      <c r="E19" s="38"/>
      <c r="F19" s="28"/>
      <c r="G19" s="38"/>
      <c r="H19" s="28"/>
      <c r="I19" s="38"/>
      <c r="J19" s="28"/>
      <c r="K19" s="38"/>
    </row>
    <row r="20" spans="1:11" ht="13.5" customHeight="1">
      <c r="A20" s="26"/>
      <c r="B20" s="25" t="s">
        <v>41</v>
      </c>
      <c r="C20" s="139"/>
      <c r="D20" s="39"/>
      <c r="E20" s="174">
        <v>0</v>
      </c>
      <c r="F20" s="175"/>
      <c r="G20" s="174">
        <v>0</v>
      </c>
      <c r="H20" s="175"/>
      <c r="I20" s="174">
        <v>0</v>
      </c>
      <c r="J20" s="175"/>
      <c r="K20" s="174">
        <v>0</v>
      </c>
    </row>
    <row r="21" spans="1:11" ht="13.5" customHeight="1">
      <c r="A21" s="26"/>
      <c r="B21" s="25" t="s">
        <v>108</v>
      </c>
      <c r="C21" s="139"/>
      <c r="D21" s="39"/>
      <c r="E21" s="176">
        <v>0</v>
      </c>
      <c r="F21" s="175"/>
      <c r="G21" s="176"/>
      <c r="H21" s="175"/>
      <c r="I21" s="176"/>
      <c r="J21" s="175"/>
      <c r="K21" s="176"/>
    </row>
    <row r="22" spans="1:11" ht="13.5" customHeight="1">
      <c r="A22" s="26"/>
      <c r="B22" s="25" t="s">
        <v>21</v>
      </c>
      <c r="C22" s="133"/>
      <c r="D22" s="40"/>
      <c r="E22" s="172">
        <v>0</v>
      </c>
      <c r="F22" s="177"/>
      <c r="G22" s="172"/>
      <c r="H22" s="177"/>
      <c r="I22" s="172"/>
      <c r="J22" s="177"/>
      <c r="K22" s="172"/>
    </row>
    <row r="23" spans="1:11" ht="13.5" customHeight="1">
      <c r="A23" s="26"/>
      <c r="B23" s="26"/>
      <c r="C23" s="143"/>
      <c r="D23" s="28"/>
      <c r="E23" s="38"/>
      <c r="F23" s="28"/>
      <c r="G23" s="38"/>
      <c r="H23" s="28"/>
      <c r="I23" s="38"/>
      <c r="J23" s="28"/>
      <c r="K23" s="38"/>
    </row>
    <row r="24" spans="1:11" ht="13.5" customHeight="1">
      <c r="A24" s="26"/>
      <c r="B24" s="1" t="s">
        <v>109</v>
      </c>
      <c r="C24" s="133"/>
      <c r="D24" s="16"/>
      <c r="E24" s="32">
        <f>SUM(E20:E22)</f>
        <v>0</v>
      </c>
      <c r="F24" s="16"/>
      <c r="G24" s="32">
        <f>SUM(G20:G22)</f>
        <v>0</v>
      </c>
      <c r="H24" s="16"/>
      <c r="I24" s="32">
        <f>SUM(I20:I22)</f>
        <v>0</v>
      </c>
      <c r="J24" s="16"/>
      <c r="K24" s="32">
        <f>SUM(K20:K22)</f>
        <v>0</v>
      </c>
    </row>
    <row r="25" spans="1:11" ht="13.5" customHeight="1">
      <c r="A25" s="26"/>
      <c r="B25" s="26"/>
      <c r="C25" s="140"/>
      <c r="D25" s="28"/>
      <c r="E25" s="31"/>
      <c r="F25" s="28"/>
      <c r="G25" s="31"/>
      <c r="H25" s="28"/>
      <c r="I25" s="31"/>
      <c r="J25" s="28"/>
      <c r="K25" s="31"/>
    </row>
    <row r="26" spans="1:11" ht="13.5" customHeight="1">
      <c r="A26" s="1" t="s">
        <v>110</v>
      </c>
      <c r="B26" s="26"/>
      <c r="C26" s="143"/>
      <c r="D26" s="28"/>
      <c r="E26" s="38"/>
      <c r="F26" s="28"/>
      <c r="G26" s="38"/>
      <c r="H26" s="28"/>
      <c r="I26" s="38"/>
      <c r="J26" s="28"/>
      <c r="K26" s="38"/>
    </row>
    <row r="27" spans="1:11" ht="13.5" customHeight="1">
      <c r="A27" s="26"/>
      <c r="B27" s="25" t="s">
        <v>111</v>
      </c>
      <c r="C27" s="139"/>
      <c r="D27" s="39"/>
      <c r="E27" s="174"/>
      <c r="F27" s="175"/>
      <c r="G27" s="174">
        <f>'Table 2'!G20</f>
        <v>1778441</v>
      </c>
      <c r="H27" s="175"/>
      <c r="I27" s="174">
        <f>G27</f>
        <v>1778441</v>
      </c>
      <c r="J27" s="175"/>
      <c r="K27" s="174">
        <f>I27</f>
        <v>1778441</v>
      </c>
    </row>
    <row r="28" spans="1:12" ht="13.5" customHeight="1">
      <c r="A28" s="26"/>
      <c r="B28" s="25" t="s">
        <v>11</v>
      </c>
      <c r="C28" s="139"/>
      <c r="D28" s="39"/>
      <c r="E28" s="176">
        <v>0</v>
      </c>
      <c r="F28" s="175"/>
      <c r="G28" s="176"/>
      <c r="H28" s="175"/>
      <c r="I28" s="176"/>
      <c r="J28" s="175"/>
      <c r="K28" s="176"/>
      <c r="L28" s="26"/>
    </row>
    <row r="29" spans="1:11" ht="13.5" customHeight="1">
      <c r="A29" s="26"/>
      <c r="B29" s="25" t="s">
        <v>15</v>
      </c>
      <c r="C29" s="139"/>
      <c r="D29" s="39"/>
      <c r="E29" s="176">
        <v>0</v>
      </c>
      <c r="F29" s="175"/>
      <c r="G29" s="176"/>
      <c r="H29" s="175"/>
      <c r="I29" s="176"/>
      <c r="J29" s="175"/>
      <c r="K29" s="176"/>
    </row>
    <row r="30" spans="1:11" ht="13.5" customHeight="1">
      <c r="A30" s="26"/>
      <c r="B30" s="25" t="s">
        <v>112</v>
      </c>
      <c r="C30" s="133"/>
      <c r="D30" s="40"/>
      <c r="E30" s="172">
        <f>G27/2</f>
        <v>889220.5</v>
      </c>
      <c r="F30" s="177"/>
      <c r="G30" s="172"/>
      <c r="H30" s="177"/>
      <c r="I30" s="172"/>
      <c r="J30" s="177"/>
      <c r="K30" s="172"/>
    </row>
    <row r="31" spans="1:11" ht="13.5" customHeight="1">
      <c r="A31" s="26"/>
      <c r="B31" s="1" t="s">
        <v>113</v>
      </c>
      <c r="C31" s="141"/>
      <c r="D31" s="16"/>
      <c r="E31" s="32">
        <f>SUM(E27:E30)</f>
        <v>889220.5</v>
      </c>
      <c r="F31" s="16"/>
      <c r="G31" s="32">
        <f>SUM(G27:G30)</f>
        <v>1778441</v>
      </c>
      <c r="H31" s="16"/>
      <c r="I31" s="32">
        <f>SUM(I27:I30)</f>
        <v>1778441</v>
      </c>
      <c r="J31" s="16"/>
      <c r="K31" s="32">
        <f>SUM(K27:K30)</f>
        <v>1778441</v>
      </c>
    </row>
    <row r="32" spans="1:11" ht="13.5" customHeight="1">
      <c r="A32" s="26"/>
      <c r="B32" s="26"/>
      <c r="C32" s="144"/>
      <c r="D32" s="28"/>
      <c r="E32" s="31"/>
      <c r="F32" s="28"/>
      <c r="G32" s="31"/>
      <c r="H32" s="28"/>
      <c r="I32" s="31"/>
      <c r="J32" s="28"/>
      <c r="K32" s="31"/>
    </row>
    <row r="33" spans="1:11" ht="13.5" customHeight="1">
      <c r="A33" s="1" t="s">
        <v>114</v>
      </c>
      <c r="B33" s="26"/>
      <c r="C33" s="144"/>
      <c r="D33" s="28"/>
      <c r="E33" s="31"/>
      <c r="F33" s="28"/>
      <c r="G33" s="31"/>
      <c r="H33" s="28"/>
      <c r="I33" s="31"/>
      <c r="J33" s="28"/>
      <c r="K33" s="31"/>
    </row>
    <row r="34" spans="1:11" ht="13.5" customHeight="1">
      <c r="A34" s="26"/>
      <c r="B34" s="25" t="s">
        <v>111</v>
      </c>
      <c r="C34" s="139"/>
      <c r="D34" s="39"/>
      <c r="E34" s="174">
        <v>0</v>
      </c>
      <c r="F34" s="175"/>
      <c r="G34" s="174">
        <f>(G27/15)*-1</f>
        <v>-118562.73333333334</v>
      </c>
      <c r="H34" s="175"/>
      <c r="I34" s="174">
        <f>G34*2</f>
        <v>-237125.46666666667</v>
      </c>
      <c r="J34" s="175"/>
      <c r="K34" s="174">
        <f>I34+G34</f>
        <v>-355688.2</v>
      </c>
    </row>
    <row r="35" spans="1:11" ht="13.5" customHeight="1">
      <c r="A35" s="26"/>
      <c r="B35" s="25" t="s">
        <v>11</v>
      </c>
      <c r="C35" s="139"/>
      <c r="D35" s="39"/>
      <c r="E35" s="176">
        <v>0</v>
      </c>
      <c r="F35" s="175"/>
      <c r="G35" s="176"/>
      <c r="H35" s="175"/>
      <c r="I35" s="176"/>
      <c r="J35" s="175"/>
      <c r="K35" s="176"/>
    </row>
    <row r="36" spans="1:11" ht="13.5" customHeight="1">
      <c r="A36" s="26"/>
      <c r="B36" s="25" t="s">
        <v>15</v>
      </c>
      <c r="C36" s="133"/>
      <c r="D36" s="40"/>
      <c r="E36" s="172">
        <v>0</v>
      </c>
      <c r="F36" s="177"/>
      <c r="G36" s="172"/>
      <c r="H36" s="177"/>
      <c r="I36" s="172"/>
      <c r="J36" s="177"/>
      <c r="K36" s="172"/>
    </row>
    <row r="37" spans="1:11" ht="13.5" customHeight="1">
      <c r="A37" s="26"/>
      <c r="B37" s="1" t="s">
        <v>115</v>
      </c>
      <c r="C37" s="141"/>
      <c r="D37" s="16"/>
      <c r="E37" s="32">
        <f>SUM(E34:E36)</f>
        <v>0</v>
      </c>
      <c r="F37" s="16"/>
      <c r="G37" s="32">
        <f>SUM(G34:G36)</f>
        <v>-118562.73333333334</v>
      </c>
      <c r="H37" s="16"/>
      <c r="I37" s="32">
        <f>SUM(I34:I36)</f>
        <v>-237125.46666666667</v>
      </c>
      <c r="J37" s="16"/>
      <c r="K37" s="32">
        <f>SUM(K34:K36)</f>
        <v>-355688.2</v>
      </c>
    </row>
    <row r="38" spans="1:11" ht="13.5" customHeight="1">
      <c r="A38" s="26"/>
      <c r="B38" s="26"/>
      <c r="C38" s="145"/>
      <c r="D38" s="28"/>
      <c r="E38" s="38"/>
      <c r="F38" s="28"/>
      <c r="G38" s="38"/>
      <c r="H38" s="28"/>
      <c r="I38" s="38"/>
      <c r="J38" s="28"/>
      <c r="K38" s="38"/>
    </row>
    <row r="39" spans="1:11" ht="13.5" customHeight="1">
      <c r="A39" s="1" t="s">
        <v>116</v>
      </c>
      <c r="C39" s="139"/>
      <c r="D39" s="28"/>
      <c r="E39" s="38">
        <f>E31+E37</f>
        <v>889220.5</v>
      </c>
      <c r="F39" s="28"/>
      <c r="G39" s="38">
        <f>G31+G37</f>
        <v>1659878.2666666666</v>
      </c>
      <c r="H39" s="28"/>
      <c r="I39" s="38">
        <f>I31+I37</f>
        <v>1541315.5333333332</v>
      </c>
      <c r="J39" s="28"/>
      <c r="K39" s="38">
        <f>K31+K37</f>
        <v>1422752.8</v>
      </c>
    </row>
    <row r="40" spans="1:11" ht="13.5" customHeight="1">
      <c r="A40" s="26"/>
      <c r="B40" s="26"/>
      <c r="C40" s="145"/>
      <c r="D40" s="28"/>
      <c r="E40" s="38"/>
      <c r="F40" s="28"/>
      <c r="G40" s="38"/>
      <c r="H40" s="28"/>
      <c r="I40" s="38"/>
      <c r="J40" s="28"/>
      <c r="K40" s="38"/>
    </row>
    <row r="41" spans="1:11" ht="13.5" customHeight="1">
      <c r="A41" s="42" t="s">
        <v>117</v>
      </c>
      <c r="B41" s="25"/>
      <c r="C41" s="133"/>
      <c r="D41" s="40"/>
      <c r="E41" s="178">
        <v>0</v>
      </c>
      <c r="F41" s="177"/>
      <c r="G41" s="178">
        <v>0</v>
      </c>
      <c r="H41" s="177"/>
      <c r="I41" s="178">
        <v>0</v>
      </c>
      <c r="J41" s="177"/>
      <c r="K41" s="178">
        <v>0</v>
      </c>
    </row>
    <row r="42" spans="1:11" ht="13.5" customHeight="1">
      <c r="A42" s="26"/>
      <c r="B42" s="26"/>
      <c r="C42" s="144"/>
      <c r="D42" s="28"/>
      <c r="E42" s="31"/>
      <c r="F42" s="28"/>
      <c r="G42" s="31"/>
      <c r="H42" s="28"/>
      <c r="I42" s="31"/>
      <c r="J42" s="28"/>
      <c r="K42" s="31"/>
    </row>
    <row r="43" spans="1:11" ht="13.5" customHeight="1">
      <c r="A43" s="26"/>
      <c r="B43" s="26"/>
      <c r="C43" s="144"/>
      <c r="D43" s="28"/>
      <c r="E43" s="31"/>
      <c r="F43" s="28"/>
      <c r="G43" s="31"/>
      <c r="H43" s="28"/>
      <c r="I43" s="31"/>
      <c r="J43" s="28"/>
      <c r="K43" s="31"/>
    </row>
    <row r="44" spans="1:11" ht="13.5" customHeight="1" thickBot="1">
      <c r="A44" s="1" t="s">
        <v>97</v>
      </c>
      <c r="B44" s="26"/>
      <c r="C44" s="138"/>
      <c r="D44" s="44"/>
      <c r="E44" s="43">
        <f>E17+E24+E39+E41</f>
        <v>889220.5</v>
      </c>
      <c r="F44" s="44"/>
      <c r="G44" s="43">
        <f>G17+G24+G39+G41</f>
        <v>1659878.2666666666</v>
      </c>
      <c r="H44" s="44"/>
      <c r="I44" s="43">
        <f>I17+I24+I39+I41</f>
        <v>1541315.5333333332</v>
      </c>
      <c r="J44" s="44"/>
      <c r="K44" s="43">
        <f>K17+K24+K39+K41</f>
        <v>1422752.8</v>
      </c>
    </row>
    <row r="45" spans="1:11" ht="13.5" customHeight="1" thickTop="1">
      <c r="A45" s="26"/>
      <c r="B45" s="26"/>
      <c r="C45" s="146"/>
      <c r="D45" s="22"/>
      <c r="E45" s="22"/>
      <c r="F45" s="22"/>
      <c r="G45" s="22"/>
      <c r="H45" s="22"/>
      <c r="I45" s="22"/>
      <c r="J45" s="22"/>
      <c r="K45" s="22"/>
    </row>
    <row r="46" spans="1:11" ht="13.5" customHeight="1">
      <c r="A46" s="26"/>
      <c r="B46" s="26"/>
      <c r="C46" s="146"/>
      <c r="D46" s="22"/>
      <c r="E46" s="22"/>
      <c r="F46" s="22"/>
      <c r="G46" s="45"/>
      <c r="H46" s="22"/>
      <c r="I46" s="45"/>
      <c r="J46" s="22"/>
      <c r="K46" s="45"/>
    </row>
    <row r="47" spans="1:11" ht="13.5" customHeight="1">
      <c r="A47" s="26"/>
      <c r="B47" s="26"/>
      <c r="C47" s="146"/>
      <c r="D47" s="22"/>
      <c r="E47" s="22"/>
      <c r="F47" s="22"/>
      <c r="G47" s="22"/>
      <c r="H47" s="22"/>
      <c r="I47" s="22"/>
      <c r="J47" s="22"/>
      <c r="K47" s="22"/>
    </row>
    <row r="48" spans="1:11" ht="13.5" customHeight="1">
      <c r="A48" s="1" t="s">
        <v>118</v>
      </c>
      <c r="B48" s="26"/>
      <c r="C48" s="146"/>
      <c r="D48" s="22"/>
      <c r="E48" s="22"/>
      <c r="F48" s="22"/>
      <c r="G48" s="22"/>
      <c r="H48" s="22"/>
      <c r="I48" s="22"/>
      <c r="J48" s="22"/>
      <c r="K48" s="22"/>
    </row>
    <row r="49" spans="3:11" ht="13.5" customHeight="1">
      <c r="C49" s="146"/>
      <c r="D49" s="22"/>
      <c r="E49" s="22"/>
      <c r="F49" s="22"/>
      <c r="G49" s="22"/>
      <c r="H49" s="22"/>
      <c r="I49" s="22"/>
      <c r="J49" s="22"/>
      <c r="K49" s="22"/>
    </row>
    <row r="50" spans="1:11" ht="13.5" customHeight="1">
      <c r="A50" s="1" t="s">
        <v>119</v>
      </c>
      <c r="C50" s="146"/>
      <c r="D50" s="22"/>
      <c r="E50" s="22"/>
      <c r="F50" s="22"/>
      <c r="G50" s="22"/>
      <c r="H50" s="22"/>
      <c r="I50" s="22"/>
      <c r="J50" s="22"/>
      <c r="K50" s="22"/>
    </row>
    <row r="51" spans="2:11" ht="13.5" customHeight="1">
      <c r="B51" s="25" t="s">
        <v>120</v>
      </c>
      <c r="C51" s="139"/>
      <c r="D51" s="39"/>
      <c r="E51" s="174">
        <v>0</v>
      </c>
      <c r="F51" s="175"/>
      <c r="G51" s="174">
        <v>0</v>
      </c>
      <c r="H51" s="175"/>
      <c r="I51" s="174">
        <v>0</v>
      </c>
      <c r="J51" s="175"/>
      <c r="K51" s="174">
        <v>0</v>
      </c>
    </row>
    <row r="52" spans="2:11" ht="13.5" customHeight="1">
      <c r="B52" s="25" t="s">
        <v>121</v>
      </c>
      <c r="C52" s="139"/>
      <c r="D52" s="39"/>
      <c r="E52" s="176">
        <v>0</v>
      </c>
      <c r="F52" s="175"/>
      <c r="G52" s="176">
        <v>0</v>
      </c>
      <c r="H52" s="175"/>
      <c r="I52" s="176">
        <v>0</v>
      </c>
      <c r="J52" s="175"/>
      <c r="K52" s="176">
        <v>0</v>
      </c>
    </row>
    <row r="53" spans="2:11" ht="13.5" customHeight="1">
      <c r="B53" s="25" t="s">
        <v>122</v>
      </c>
      <c r="C53" s="139"/>
      <c r="D53" s="39"/>
      <c r="E53" s="176">
        <v>0</v>
      </c>
      <c r="F53" s="175"/>
      <c r="G53" s="176">
        <v>0</v>
      </c>
      <c r="H53" s="175"/>
      <c r="I53" s="176">
        <v>0</v>
      </c>
      <c r="J53" s="175"/>
      <c r="K53" s="176">
        <v>0</v>
      </c>
    </row>
    <row r="54" spans="2:11" ht="13.5" customHeight="1">
      <c r="B54" s="25" t="s">
        <v>123</v>
      </c>
      <c r="C54" s="139"/>
      <c r="D54" s="39"/>
      <c r="E54" s="176">
        <v>0</v>
      </c>
      <c r="F54" s="175"/>
      <c r="G54" s="176">
        <v>0</v>
      </c>
      <c r="H54" s="175"/>
      <c r="I54" s="176">
        <v>0</v>
      </c>
      <c r="J54" s="175"/>
      <c r="K54" s="176">
        <v>0</v>
      </c>
    </row>
    <row r="55" spans="2:11" ht="13.5" customHeight="1">
      <c r="B55" s="25" t="s">
        <v>124</v>
      </c>
      <c r="C55" s="133"/>
      <c r="D55" s="40"/>
      <c r="E55" s="172">
        <v>0</v>
      </c>
      <c r="F55" s="177"/>
      <c r="G55" s="172">
        <v>0</v>
      </c>
      <c r="H55" s="177"/>
      <c r="I55" s="172">
        <v>0</v>
      </c>
      <c r="J55" s="177"/>
      <c r="K55" s="172">
        <v>0</v>
      </c>
    </row>
    <row r="56" spans="2:11" ht="13.5" customHeight="1">
      <c r="B56" s="1" t="s">
        <v>125</v>
      </c>
      <c r="C56" s="141"/>
      <c r="D56" s="16"/>
      <c r="E56" s="32">
        <f>SUM(E51:E55)</f>
        <v>0</v>
      </c>
      <c r="F56" s="16"/>
      <c r="G56" s="32">
        <f>SUM(G51:G55)</f>
        <v>0</v>
      </c>
      <c r="H56" s="16"/>
      <c r="I56" s="32">
        <f>SUM(I51:I55)</f>
        <v>0</v>
      </c>
      <c r="J56" s="16"/>
      <c r="K56" s="32">
        <f>SUM(K51:K55)</f>
        <v>0</v>
      </c>
    </row>
    <row r="57" spans="3:11" ht="13.5" customHeight="1">
      <c r="C57" s="146"/>
      <c r="D57" s="22"/>
      <c r="E57" s="22"/>
      <c r="F57" s="22"/>
      <c r="G57" s="22"/>
      <c r="H57" s="22"/>
      <c r="I57" s="22"/>
      <c r="J57" s="22"/>
      <c r="K57" s="22"/>
    </row>
    <row r="58" spans="1:11" ht="13.5" customHeight="1">
      <c r="A58" s="1" t="s">
        <v>126</v>
      </c>
      <c r="C58" s="146"/>
      <c r="D58" s="22"/>
      <c r="E58" s="22"/>
      <c r="F58" s="22"/>
      <c r="G58" s="22"/>
      <c r="H58" s="22"/>
      <c r="I58" s="22"/>
      <c r="J58" s="22"/>
      <c r="K58" s="22"/>
    </row>
    <row r="59" spans="2:11" ht="13.5" customHeight="1">
      <c r="B59" s="25" t="s">
        <v>127</v>
      </c>
      <c r="C59" s="139"/>
      <c r="D59" s="39"/>
      <c r="E59" s="174">
        <v>0</v>
      </c>
      <c r="F59" s="175"/>
      <c r="G59" s="174">
        <v>0</v>
      </c>
      <c r="H59" s="175"/>
      <c r="I59" s="174">
        <v>0</v>
      </c>
      <c r="J59" s="175"/>
      <c r="K59" s="174">
        <v>0</v>
      </c>
    </row>
    <row r="60" spans="2:11" ht="13.5" customHeight="1">
      <c r="B60" s="25" t="s">
        <v>128</v>
      </c>
      <c r="C60" s="139"/>
      <c r="D60" s="39"/>
      <c r="E60" s="176">
        <v>0</v>
      </c>
      <c r="F60" s="175"/>
      <c r="G60" s="176">
        <v>0</v>
      </c>
      <c r="H60" s="175"/>
      <c r="I60" s="176">
        <v>0</v>
      </c>
      <c r="J60" s="175"/>
      <c r="K60" s="176">
        <v>0</v>
      </c>
    </row>
    <row r="61" spans="2:11" ht="13.5" customHeight="1">
      <c r="B61" s="25" t="s">
        <v>129</v>
      </c>
      <c r="C61" s="133"/>
      <c r="D61" s="40"/>
      <c r="E61" s="172">
        <v>0</v>
      </c>
      <c r="F61" s="177"/>
      <c r="G61" s="172">
        <v>0</v>
      </c>
      <c r="H61" s="177"/>
      <c r="I61" s="172">
        <v>0</v>
      </c>
      <c r="J61" s="177"/>
      <c r="K61" s="172">
        <v>0</v>
      </c>
    </row>
    <row r="62" spans="2:11" ht="13.5" customHeight="1">
      <c r="B62" s="1" t="s">
        <v>130</v>
      </c>
      <c r="C62" s="141"/>
      <c r="D62" s="16"/>
      <c r="E62" s="32">
        <f>SUM(E59:E61)</f>
        <v>0</v>
      </c>
      <c r="F62" s="16"/>
      <c r="G62" s="32">
        <f>SUM(G59:G61)</f>
        <v>0</v>
      </c>
      <c r="H62" s="16"/>
      <c r="I62" s="32">
        <f>SUM(I59:I61)</f>
        <v>0</v>
      </c>
      <c r="J62" s="16"/>
      <c r="K62" s="32">
        <f>SUM(K59:K61)</f>
        <v>0</v>
      </c>
    </row>
    <row r="63" spans="3:11" ht="13.5" customHeight="1">
      <c r="C63" s="146"/>
      <c r="D63" s="22"/>
      <c r="E63" s="22"/>
      <c r="F63" s="22"/>
      <c r="G63" s="22"/>
      <c r="H63" s="22"/>
      <c r="I63" s="22"/>
      <c r="J63" s="22"/>
      <c r="K63" s="22"/>
    </row>
    <row r="64" spans="1:11" ht="13.5" customHeight="1">
      <c r="A64" s="42" t="s">
        <v>131</v>
      </c>
      <c r="C64" s="133"/>
      <c r="D64" s="40"/>
      <c r="E64" s="178"/>
      <c r="F64" s="177"/>
      <c r="G64" s="178"/>
      <c r="H64" s="177"/>
      <c r="I64" s="178"/>
      <c r="J64" s="177"/>
      <c r="K64" s="178"/>
    </row>
    <row r="65" spans="3:11" ht="13.5" customHeight="1">
      <c r="C65" s="146"/>
      <c r="D65" s="22"/>
      <c r="E65" s="22"/>
      <c r="F65" s="22"/>
      <c r="G65" s="22"/>
      <c r="H65" s="22"/>
      <c r="I65" s="22"/>
      <c r="J65" s="22"/>
      <c r="K65" s="22"/>
    </row>
    <row r="66" spans="1:11" ht="13.5" customHeight="1">
      <c r="A66" s="1" t="s">
        <v>132</v>
      </c>
      <c r="C66" s="139"/>
      <c r="D66" s="28"/>
      <c r="E66" s="38">
        <f>E56+E62+E64</f>
        <v>0</v>
      </c>
      <c r="F66" s="28"/>
      <c r="G66" s="38">
        <f>G56+G62+G64</f>
        <v>0</v>
      </c>
      <c r="H66" s="28"/>
      <c r="I66" s="38">
        <f>I56+I62+I64</f>
        <v>0</v>
      </c>
      <c r="J66" s="28"/>
      <c r="K66" s="38">
        <f>K56+K62+K64</f>
        <v>0</v>
      </c>
    </row>
    <row r="67" spans="3:11" ht="13.5" customHeight="1">
      <c r="C67" s="146"/>
      <c r="D67" s="22"/>
      <c r="E67" s="22"/>
      <c r="F67" s="22"/>
      <c r="G67" s="22"/>
      <c r="H67" s="22"/>
      <c r="I67" s="22"/>
      <c r="J67" s="22"/>
      <c r="K67" s="22"/>
    </row>
    <row r="68" spans="1:11" ht="13.5" customHeight="1">
      <c r="A68" s="42" t="s">
        <v>133</v>
      </c>
      <c r="C68" s="133"/>
      <c r="D68" s="40"/>
      <c r="E68" s="178">
        <v>889221</v>
      </c>
      <c r="F68" s="177"/>
      <c r="G68" s="178">
        <v>1659878</v>
      </c>
      <c r="H68" s="177"/>
      <c r="I68" s="178">
        <v>1541316</v>
      </c>
      <c r="J68" s="177"/>
      <c r="K68" s="178">
        <v>1422753</v>
      </c>
    </row>
    <row r="69" spans="3:11" ht="13.5" customHeight="1">
      <c r="C69" s="146"/>
      <c r="D69" s="22"/>
      <c r="E69" s="22"/>
      <c r="F69" s="22"/>
      <c r="G69" s="22"/>
      <c r="H69" s="22"/>
      <c r="I69" s="22"/>
      <c r="J69" s="22"/>
      <c r="K69" s="22"/>
    </row>
    <row r="70" spans="3:11" ht="13.5" customHeight="1">
      <c r="C70" s="146"/>
      <c r="D70" s="22"/>
      <c r="E70" s="22"/>
      <c r="F70" s="22"/>
      <c r="G70" s="22"/>
      <c r="H70" s="22"/>
      <c r="I70" s="22"/>
      <c r="J70" s="22"/>
      <c r="K70" s="22"/>
    </row>
    <row r="71" spans="1:11" ht="13.5" customHeight="1" thickBot="1">
      <c r="A71" s="1" t="s">
        <v>98</v>
      </c>
      <c r="C71" s="138"/>
      <c r="D71" s="44"/>
      <c r="E71" s="43">
        <f>E66+E68</f>
        <v>889221</v>
      </c>
      <c r="F71" s="44"/>
      <c r="G71" s="43">
        <f>G66+G68</f>
        <v>1659878</v>
      </c>
      <c r="H71" s="44"/>
      <c r="I71" s="43">
        <f>I66+I68</f>
        <v>1541316</v>
      </c>
      <c r="J71" s="44"/>
      <c r="K71" s="43">
        <f>K66+K68</f>
        <v>1422753</v>
      </c>
    </row>
    <row r="72" spans="3:11" ht="13.5" thickTop="1">
      <c r="C72" s="22"/>
      <c r="D72" s="22"/>
      <c r="E72" s="22"/>
      <c r="F72" s="22"/>
      <c r="G72" s="22"/>
      <c r="H72" s="22"/>
      <c r="I72" s="22"/>
      <c r="J72" s="22"/>
      <c r="K72" s="22"/>
    </row>
  </sheetData>
  <sheetProtection/>
  <mergeCells count="5">
    <mergeCell ref="A5:K5"/>
    <mergeCell ref="A1:K1"/>
    <mergeCell ref="A2:K2"/>
    <mergeCell ref="A3:K3"/>
    <mergeCell ref="A4:K4"/>
  </mergeCells>
  <printOptions horizontalCentered="1"/>
  <pageMargins left="0.25" right="0.25" top="0.75" bottom="0.75" header="0.5" footer="0.5"/>
  <pageSetup fitToHeight="1" fitToWidth="1" horizontalDpi="600" verticalDpi="600" orientation="portrait" scale="72" r:id="rId1"/>
  <headerFooter alignWithMargins="0">
    <oddHeader>&amp;L&amp;"Arial,Italic"&amp;12NOTE: When completing this table make entries in the shaded fields only.</oddHeader>
    <oddFooter>&amp;L&amp;D
Health Care Administration&amp;R&amp;F,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zoomScale="85" zoomScaleNormal="85" zoomScalePageLayoutView="0" workbookViewId="0" topLeftCell="A1">
      <pane ySplit="9" topLeftCell="A29" activePane="bottomLeft" state="frozen"/>
      <selection pane="topLeft" activeCell="A1" sqref="A1"/>
      <selection pane="bottomLeft" activeCell="K74" sqref="K74"/>
    </sheetView>
  </sheetViews>
  <sheetFormatPr defaultColWidth="9.140625" defaultRowHeight="12.75"/>
  <cols>
    <col min="1" max="1" width="2.7109375" style="0" customWidth="1"/>
    <col min="2" max="2" width="35.421875" style="0" customWidth="1"/>
    <col min="3" max="3" width="13.8515625" style="0" customWidth="1"/>
    <col min="4" max="4" width="1.8515625" style="0" customWidth="1"/>
    <col min="5" max="5" width="13.8515625" style="0" customWidth="1"/>
    <col min="6" max="6" width="1.8515625" style="0" customWidth="1"/>
    <col min="7" max="7" width="13.8515625" style="0" customWidth="1"/>
    <col min="8" max="8" width="1.8515625" style="0" customWidth="1"/>
    <col min="9" max="9" width="13.8515625" style="0" customWidth="1"/>
    <col min="10" max="10" width="1.8515625" style="0" customWidth="1"/>
    <col min="11" max="11" width="13.8515625" style="0" customWidth="1"/>
    <col min="12" max="12" width="11.7109375" style="0" bestFit="1" customWidth="1"/>
  </cols>
  <sheetData>
    <row r="1" spans="1:11" ht="15.75">
      <c r="A1" s="190" t="str">
        <f>'Table 1'!A1:C1</f>
        <v>50 Granview Dr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5.75">
      <c r="A2" s="190" t="str">
        <f>'Table 1'!A2:C2</f>
        <v>WCMHS Infrastructure Improvement Project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ht="14.25">
      <c r="A3" s="193" t="s">
        <v>182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</row>
    <row r="4" spans="1:11" ht="14.25">
      <c r="A4" s="193" t="s">
        <v>96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</row>
    <row r="5" spans="1:11" ht="14.25">
      <c r="A5" s="193" t="s">
        <v>75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</row>
    <row r="6" ht="13.5" customHeight="1"/>
    <row r="7" spans="3:11" ht="13.5" customHeight="1">
      <c r="C7" s="1"/>
      <c r="D7" s="1"/>
      <c r="E7" s="13"/>
      <c r="F7" s="1"/>
      <c r="G7" s="13" t="s">
        <v>0</v>
      </c>
      <c r="H7" s="26"/>
      <c r="I7" s="13" t="s">
        <v>0</v>
      </c>
      <c r="J7" s="26"/>
      <c r="K7" s="13" t="s">
        <v>0</v>
      </c>
    </row>
    <row r="8" spans="1:11" ht="13.5" customHeight="1">
      <c r="A8" s="1" t="s">
        <v>99</v>
      </c>
      <c r="C8" s="13" t="s">
        <v>70</v>
      </c>
      <c r="D8" s="29"/>
      <c r="E8" s="13" t="s">
        <v>179</v>
      </c>
      <c r="F8" s="29"/>
      <c r="G8" s="13" t="s">
        <v>1</v>
      </c>
      <c r="H8" s="29"/>
      <c r="I8" s="13" t="s">
        <v>2</v>
      </c>
      <c r="J8" s="29"/>
      <c r="K8" s="13" t="s">
        <v>3</v>
      </c>
    </row>
    <row r="9" spans="3:11" ht="13.5" customHeight="1">
      <c r="C9" s="14">
        <f>'Table 4A'!C9</f>
        <v>2023</v>
      </c>
      <c r="D9" s="30"/>
      <c r="E9" s="14">
        <f>C9+1</f>
        <v>2024</v>
      </c>
      <c r="F9" s="30"/>
      <c r="G9" s="14">
        <f>E9+1</f>
        <v>2025</v>
      </c>
      <c r="H9" s="30"/>
      <c r="I9" s="14">
        <f>G9+1</f>
        <v>2026</v>
      </c>
      <c r="J9" s="30"/>
      <c r="K9" s="14">
        <f>I9+1</f>
        <v>2027</v>
      </c>
    </row>
    <row r="10" spans="1:10" ht="13.5" customHeight="1">
      <c r="A10" s="1" t="s">
        <v>100</v>
      </c>
      <c r="B10" s="26"/>
      <c r="D10" s="26"/>
      <c r="F10" s="26"/>
      <c r="H10" s="26"/>
      <c r="J10" s="26"/>
    </row>
    <row r="11" spans="1:11" ht="13.5" customHeight="1">
      <c r="A11" s="26"/>
      <c r="B11" s="26" t="s">
        <v>101</v>
      </c>
      <c r="C11" s="38">
        <f>'Table 4A'!C11+'Table 4B'!C11</f>
        <v>11757910</v>
      </c>
      <c r="D11" s="28"/>
      <c r="E11" s="38">
        <f>'Table 4A'!E11+'Table 4B'!E11</f>
        <v>11980296</v>
      </c>
      <c r="F11" s="28"/>
      <c r="G11" s="38">
        <f>'Table 4A'!G11+'Table 4B'!G11</f>
        <v>12195453</v>
      </c>
      <c r="H11" s="28"/>
      <c r="I11" s="38">
        <f>'Table 4A'!I11+'Table 4B'!I11</f>
        <v>12388198</v>
      </c>
      <c r="J11" s="28"/>
      <c r="K11" s="38">
        <f>'Table 4A'!K11+'Table 4B'!K11</f>
        <v>12568341</v>
      </c>
    </row>
    <row r="12" spans="1:11" ht="13.5" customHeight="1">
      <c r="A12" s="26"/>
      <c r="B12" s="26" t="s">
        <v>102</v>
      </c>
      <c r="C12" s="31">
        <f>'Table 4A'!C12+'Table 4B'!C12</f>
        <v>4472254</v>
      </c>
      <c r="D12" s="28"/>
      <c r="E12" s="31">
        <f>'Table 4A'!E12+'Table 4B'!E12</f>
        <v>4472254</v>
      </c>
      <c r="F12" s="28"/>
      <c r="G12" s="31">
        <f>'Table 4A'!G12+'Table 4B'!G12</f>
        <v>4472254</v>
      </c>
      <c r="H12" s="28"/>
      <c r="I12" s="31">
        <f>'Table 4A'!I12+'Table 4B'!I12</f>
        <v>4472254</v>
      </c>
      <c r="J12" s="28"/>
      <c r="K12" s="31">
        <f>'Table 4A'!K12+'Table 4B'!K12</f>
        <v>4472254</v>
      </c>
    </row>
    <row r="13" spans="1:11" ht="13.5" customHeight="1">
      <c r="A13" s="26"/>
      <c r="B13" s="37" t="s">
        <v>103</v>
      </c>
      <c r="C13" s="31">
        <f>'Table 4A'!C13+'Table 4B'!C13</f>
        <v>0</v>
      </c>
      <c r="D13" s="28"/>
      <c r="E13" s="31">
        <f>'Table 4A'!E13+'Table 4B'!E13</f>
        <v>0</v>
      </c>
      <c r="F13" s="28"/>
      <c r="G13" s="31">
        <f>'Table 4A'!G13+'Table 4B'!G13</f>
        <v>0</v>
      </c>
      <c r="H13" s="28"/>
      <c r="I13" s="31">
        <f>'Table 4A'!I13+'Table 4B'!I13</f>
        <v>0</v>
      </c>
      <c r="J13" s="28"/>
      <c r="K13" s="31">
        <f>'Table 4A'!K13+'Table 4B'!K13</f>
        <v>0</v>
      </c>
    </row>
    <row r="14" spans="1:11" ht="13.5" customHeight="1">
      <c r="A14" s="26"/>
      <c r="B14" s="26" t="s">
        <v>104</v>
      </c>
      <c r="C14" s="31">
        <f>'Table 4A'!C14+'Table 4B'!C14</f>
        <v>0</v>
      </c>
      <c r="D14" s="28"/>
      <c r="E14" s="31">
        <f>'Table 4A'!E14+'Table 4B'!E14</f>
        <v>0</v>
      </c>
      <c r="F14" s="28"/>
      <c r="G14" s="31">
        <f>'Table 4A'!G14+'Table 4B'!G14</f>
        <v>0</v>
      </c>
      <c r="H14" s="28"/>
      <c r="I14" s="31">
        <f>'Table 4A'!I14+'Table 4B'!I14</f>
        <v>0</v>
      </c>
      <c r="J14" s="28"/>
      <c r="K14" s="31">
        <f>'Table 4A'!K14+'Table 4B'!K14</f>
        <v>0</v>
      </c>
    </row>
    <row r="15" spans="1:11" ht="13.5" customHeight="1">
      <c r="A15" s="26"/>
      <c r="B15" s="26" t="s">
        <v>105</v>
      </c>
      <c r="C15" s="12">
        <f>'Table 4A'!C15+'Table 4B'!C15</f>
        <v>932004</v>
      </c>
      <c r="D15" s="16"/>
      <c r="E15" s="12">
        <f>'Table 4A'!E15+'Table 4B'!E15</f>
        <v>932005</v>
      </c>
      <c r="F15" s="16"/>
      <c r="G15" s="12">
        <f>'Table 4A'!G15+'Table 4B'!G15</f>
        <v>932006</v>
      </c>
      <c r="H15" s="16"/>
      <c r="I15" s="12">
        <f>'Table 4A'!I15+'Table 4B'!I15</f>
        <v>932007</v>
      </c>
      <c r="J15" s="16"/>
      <c r="K15" s="12">
        <f>'Table 4A'!K15+'Table 4B'!K15</f>
        <v>932009</v>
      </c>
    </row>
    <row r="16" spans="1:11" ht="13.5" customHeight="1">
      <c r="A16" s="26"/>
      <c r="B16" s="26"/>
      <c r="C16" s="31"/>
      <c r="D16" s="28"/>
      <c r="E16" s="31"/>
      <c r="F16" s="28"/>
      <c r="G16" s="31"/>
      <c r="H16" s="28"/>
      <c r="I16" s="31"/>
      <c r="J16" s="28"/>
      <c r="K16" s="31"/>
    </row>
    <row r="17" spans="2:11" ht="13.5" customHeight="1">
      <c r="B17" s="1" t="s">
        <v>106</v>
      </c>
      <c r="C17" s="32">
        <f>SUM(C11:C15)</f>
        <v>17162168</v>
      </c>
      <c r="D17" s="16"/>
      <c r="E17" s="32">
        <f>SUM(E11:E15)</f>
        <v>17384555</v>
      </c>
      <c r="F17" s="16"/>
      <c r="G17" s="32">
        <f>SUM(G11:G15)</f>
        <v>17599713</v>
      </c>
      <c r="H17" s="16"/>
      <c r="I17" s="32">
        <f>SUM(I11:I15)</f>
        <v>17792459</v>
      </c>
      <c r="J17" s="16"/>
      <c r="K17" s="32">
        <f>SUM(K11:K15)</f>
        <v>17972604</v>
      </c>
    </row>
    <row r="18" spans="1:11" ht="13.5" customHeight="1">
      <c r="A18" s="26"/>
      <c r="B18" s="26"/>
      <c r="C18" s="22"/>
      <c r="D18" s="22"/>
      <c r="E18" s="22"/>
      <c r="F18" s="22"/>
      <c r="G18" s="22"/>
      <c r="H18" s="22"/>
      <c r="I18" s="22"/>
      <c r="J18" s="22"/>
      <c r="K18" s="22"/>
    </row>
    <row r="19" spans="1:11" ht="13.5" customHeight="1">
      <c r="A19" s="1" t="s">
        <v>107</v>
      </c>
      <c r="B19" s="26"/>
      <c r="C19" s="38"/>
      <c r="D19" s="28"/>
      <c r="E19" s="38"/>
      <c r="F19" s="28"/>
      <c r="G19" s="38"/>
      <c r="H19" s="28"/>
      <c r="I19" s="38"/>
      <c r="J19" s="28"/>
      <c r="K19" s="38"/>
    </row>
    <row r="20" spans="1:11" ht="13.5" customHeight="1">
      <c r="A20" s="26"/>
      <c r="B20" s="26" t="s">
        <v>41</v>
      </c>
      <c r="C20" s="38">
        <f>'Table 4A'!C20+'Table 4B'!C20</f>
        <v>0</v>
      </c>
      <c r="D20" s="28"/>
      <c r="E20" s="38">
        <f>'Table 4A'!E20+'Table 4B'!E20</f>
        <v>0</v>
      </c>
      <c r="F20" s="28"/>
      <c r="G20" s="38">
        <f>'Table 4A'!G20+'Table 4B'!G20</f>
        <v>0</v>
      </c>
      <c r="H20" s="28"/>
      <c r="I20" s="38">
        <f>'Table 4A'!I20+'Table 4B'!I20</f>
        <v>0</v>
      </c>
      <c r="J20" s="28"/>
      <c r="K20" s="38">
        <f>'Table 4A'!K20+'Table 4B'!K20</f>
        <v>0</v>
      </c>
    </row>
    <row r="21" spans="1:11" ht="13.5" customHeight="1">
      <c r="A21" s="26"/>
      <c r="B21" s="26" t="s">
        <v>108</v>
      </c>
      <c r="C21" s="31">
        <f>'Table 4A'!C21+'Table 4B'!C21</f>
        <v>0</v>
      </c>
      <c r="D21" s="28"/>
      <c r="E21" s="31">
        <f>'Table 4A'!E21+'Table 4B'!E21</f>
        <v>0</v>
      </c>
      <c r="F21" s="28"/>
      <c r="G21" s="31">
        <f>'Table 4A'!G21+'Table 4B'!G21</f>
        <v>0</v>
      </c>
      <c r="H21" s="28"/>
      <c r="I21" s="31">
        <f>'Table 4A'!I21+'Table 4B'!I21</f>
        <v>0</v>
      </c>
      <c r="J21" s="28"/>
      <c r="K21" s="31">
        <f>'Table 4A'!K21+'Table 4B'!K21</f>
        <v>0</v>
      </c>
    </row>
    <row r="22" spans="1:11" ht="13.5" customHeight="1">
      <c r="A22" s="26"/>
      <c r="B22" s="26" t="s">
        <v>21</v>
      </c>
      <c r="C22" s="12">
        <f>'Table 4A'!C22+'Table 4B'!C22</f>
        <v>0</v>
      </c>
      <c r="D22" s="16"/>
      <c r="E22" s="12">
        <f>'Table 4A'!E22+'Table 4B'!E22</f>
        <v>0</v>
      </c>
      <c r="F22" s="16"/>
      <c r="G22" s="12">
        <f>'Table 4A'!G22+'Table 4B'!G22</f>
        <v>0</v>
      </c>
      <c r="H22" s="16"/>
      <c r="I22" s="12">
        <f>'Table 4A'!I22+'Table 4B'!I22</f>
        <v>0</v>
      </c>
      <c r="J22" s="16"/>
      <c r="K22" s="12">
        <f>'Table 4A'!K22+'Table 4B'!K22</f>
        <v>0</v>
      </c>
    </row>
    <row r="23" spans="1:11" ht="13.5" customHeight="1">
      <c r="A23" s="26"/>
      <c r="B23" s="26"/>
      <c r="C23" s="38"/>
      <c r="D23" s="28"/>
      <c r="E23" s="38"/>
      <c r="F23" s="28"/>
      <c r="G23" s="38"/>
      <c r="H23" s="28"/>
      <c r="I23" s="38"/>
      <c r="J23" s="28"/>
      <c r="K23" s="38"/>
    </row>
    <row r="24" spans="1:11" ht="13.5" customHeight="1">
      <c r="A24" s="26"/>
      <c r="B24" s="1" t="s">
        <v>109</v>
      </c>
      <c r="C24" s="32">
        <f>SUM(C20:C22)</f>
        <v>0</v>
      </c>
      <c r="D24" s="16"/>
      <c r="E24" s="32">
        <f>SUM(E20:E22)</f>
        <v>0</v>
      </c>
      <c r="F24" s="16"/>
      <c r="G24" s="32">
        <f>SUM(G20:G22)</f>
        <v>0</v>
      </c>
      <c r="H24" s="16"/>
      <c r="I24" s="32">
        <f>SUM(I20:I22)</f>
        <v>0</v>
      </c>
      <c r="J24" s="16"/>
      <c r="K24" s="32">
        <f>SUM(K20:K22)</f>
        <v>0</v>
      </c>
    </row>
    <row r="25" spans="1:11" ht="13.5" customHeight="1">
      <c r="A25" s="26"/>
      <c r="B25" s="26"/>
      <c r="C25" s="31"/>
      <c r="D25" s="28"/>
      <c r="E25" s="31"/>
      <c r="F25" s="28"/>
      <c r="G25" s="31"/>
      <c r="H25" s="28"/>
      <c r="I25" s="31"/>
      <c r="J25" s="28"/>
      <c r="K25" s="31"/>
    </row>
    <row r="26" spans="1:11" ht="13.5" customHeight="1">
      <c r="A26" s="1" t="s">
        <v>110</v>
      </c>
      <c r="B26" s="26"/>
      <c r="C26" s="38"/>
      <c r="D26" s="28"/>
      <c r="E26" s="38"/>
      <c r="F26" s="28"/>
      <c r="G26" s="38"/>
      <c r="H26" s="28"/>
      <c r="I26" s="38"/>
      <c r="J26" s="28"/>
      <c r="K26" s="38"/>
    </row>
    <row r="27" spans="1:12" ht="13.5" customHeight="1">
      <c r="A27" s="26"/>
      <c r="B27" s="26" t="s">
        <v>111</v>
      </c>
      <c r="C27" s="38">
        <f>'Table 4A'!C27+'Table 4B'!C27</f>
        <v>28995250</v>
      </c>
      <c r="D27" s="28"/>
      <c r="E27" s="38">
        <f>'Table 4A'!E27+'Table 4B'!E27</f>
        <v>28995250</v>
      </c>
      <c r="F27" s="28"/>
      <c r="G27" s="38">
        <f>'Table 4A'!G27+'Table 4B'!G27</f>
        <v>30773691</v>
      </c>
      <c r="H27" s="28"/>
      <c r="I27" s="38">
        <f>'Table 4A'!I27+'Table 4B'!I27</f>
        <v>30773691</v>
      </c>
      <c r="J27" s="28"/>
      <c r="K27" s="38">
        <f>'Table 4A'!K27+'Table 4B'!K27</f>
        <v>30773691</v>
      </c>
      <c r="L27" s="185"/>
    </row>
    <row r="28" spans="1:12" ht="13.5" customHeight="1">
      <c r="A28" s="26"/>
      <c r="B28" s="26" t="s">
        <v>11</v>
      </c>
      <c r="C28" s="31">
        <f>'Table 4A'!C28+'Table 4B'!C28</f>
        <v>0</v>
      </c>
      <c r="D28" s="28"/>
      <c r="E28" s="31">
        <f>'Table 4A'!E28+'Table 4B'!E28</f>
        <v>0</v>
      </c>
      <c r="F28" s="28"/>
      <c r="G28" s="31">
        <f>'Table 4A'!G28+'Table 4B'!G28</f>
        <v>0</v>
      </c>
      <c r="H28" s="28"/>
      <c r="I28" s="31">
        <f>'Table 4A'!I28+'Table 4B'!I28</f>
        <v>0</v>
      </c>
      <c r="J28" s="28"/>
      <c r="K28" s="31">
        <f>'Table 4A'!K28+'Table 4B'!K28</f>
        <v>0</v>
      </c>
      <c r="L28" s="26"/>
    </row>
    <row r="29" spans="1:11" ht="13.5" customHeight="1">
      <c r="A29" s="26"/>
      <c r="B29" s="26" t="s">
        <v>15</v>
      </c>
      <c r="C29" s="31">
        <f>'Table 4A'!C29+'Table 4B'!C29</f>
        <v>0</v>
      </c>
      <c r="D29" s="28"/>
      <c r="E29" s="31">
        <f>'Table 4A'!E29+'Table 4B'!E29</f>
        <v>0</v>
      </c>
      <c r="F29" s="28"/>
      <c r="G29" s="31">
        <f>'Table 4A'!G29+'Table 4B'!G29</f>
        <v>0</v>
      </c>
      <c r="H29" s="28"/>
      <c r="I29" s="31">
        <f>'Table 4A'!I29+'Table 4B'!I29</f>
        <v>0</v>
      </c>
      <c r="J29" s="28"/>
      <c r="K29" s="31">
        <f>'Table 4A'!K29+'Table 4B'!K29</f>
        <v>0</v>
      </c>
    </row>
    <row r="30" spans="1:11" ht="13.5" customHeight="1">
      <c r="A30" s="26"/>
      <c r="B30" s="26" t="s">
        <v>112</v>
      </c>
      <c r="C30" s="12">
        <f>'Table 4A'!C30+'Table 4B'!C30</f>
        <v>0</v>
      </c>
      <c r="D30" s="16"/>
      <c r="E30" s="12">
        <f>'Table 4A'!E30+'Table 4B'!E30</f>
        <v>889220.5</v>
      </c>
      <c r="F30" s="16"/>
      <c r="G30" s="12">
        <f>'Table 4A'!G30+'Table 4B'!G30</f>
        <v>0</v>
      </c>
      <c r="H30" s="16"/>
      <c r="I30" s="12">
        <f>'Table 4A'!I30+'Table 4B'!I30</f>
        <v>0</v>
      </c>
      <c r="J30" s="16"/>
      <c r="K30" s="12">
        <f>'Table 4A'!K30+'Table 4B'!K30</f>
        <v>0</v>
      </c>
    </row>
    <row r="31" spans="1:11" ht="13.5" customHeight="1">
      <c r="A31" s="26"/>
      <c r="B31" s="1" t="s">
        <v>113</v>
      </c>
      <c r="C31" s="32">
        <f>SUM(C27:C30)</f>
        <v>28995250</v>
      </c>
      <c r="D31" s="16"/>
      <c r="E31" s="32">
        <f>SUM(E27:E30)</f>
        <v>29884470.5</v>
      </c>
      <c r="F31" s="16"/>
      <c r="G31" s="32">
        <f>SUM(G27:G30)</f>
        <v>30773691</v>
      </c>
      <c r="H31" s="16"/>
      <c r="I31" s="32">
        <f>SUM(I27:I30)</f>
        <v>30773691</v>
      </c>
      <c r="J31" s="16"/>
      <c r="K31" s="32">
        <f>SUM(K27:K30)</f>
        <v>30773691</v>
      </c>
    </row>
    <row r="32" spans="1:11" ht="13.5" customHeight="1">
      <c r="A32" s="26"/>
      <c r="B32" s="26"/>
      <c r="C32" s="31"/>
      <c r="D32" s="28"/>
      <c r="E32" s="31"/>
      <c r="F32" s="28"/>
      <c r="G32" s="31"/>
      <c r="H32" s="28"/>
      <c r="I32" s="31"/>
      <c r="J32" s="28"/>
      <c r="K32" s="31"/>
    </row>
    <row r="33" spans="1:11" ht="13.5" customHeight="1">
      <c r="A33" s="1" t="s">
        <v>114</v>
      </c>
      <c r="B33" s="26"/>
      <c r="C33" s="31"/>
      <c r="D33" s="28"/>
      <c r="E33" s="31"/>
      <c r="F33" s="28"/>
      <c r="G33" s="31"/>
      <c r="H33" s="28"/>
      <c r="I33" s="31"/>
      <c r="J33" s="28"/>
      <c r="K33" s="31"/>
    </row>
    <row r="34" spans="1:11" ht="13.5" customHeight="1">
      <c r="A34" s="26"/>
      <c r="B34" s="26" t="s">
        <v>111</v>
      </c>
      <c r="C34" s="38">
        <f>'Table 4A'!C34+'Table 4B'!C34</f>
        <v>-13891702</v>
      </c>
      <c r="D34" s="28"/>
      <c r="E34" s="38">
        <f>'Table 4A'!E34+'Table 4B'!E34</f>
        <v>-15088188</v>
      </c>
      <c r="F34" s="28"/>
      <c r="G34" s="38">
        <f>'Table 4A'!G34+'Table 4B'!G34</f>
        <v>-16403236.733333332</v>
      </c>
      <c r="H34" s="28"/>
      <c r="I34" s="38">
        <f>'Table 4A'!I34+'Table 4B'!I34</f>
        <v>-17718285.466666665</v>
      </c>
      <c r="J34" s="28"/>
      <c r="K34" s="38">
        <f>'Table 4A'!K34+'Table 4B'!K34</f>
        <v>-19033334.2</v>
      </c>
    </row>
    <row r="35" spans="1:11" ht="13.5" customHeight="1">
      <c r="A35" s="26"/>
      <c r="B35" s="26" t="s">
        <v>11</v>
      </c>
      <c r="C35" s="31">
        <f>'Table 4A'!C35+'Table 4B'!C35</f>
        <v>0</v>
      </c>
      <c r="D35" s="28"/>
      <c r="E35" s="31">
        <f>'Table 4A'!E35+'Table 4B'!E35</f>
        <v>0</v>
      </c>
      <c r="F35" s="28"/>
      <c r="G35" s="31">
        <f>'Table 4A'!G35+'Table 4B'!G35</f>
        <v>0</v>
      </c>
      <c r="H35" s="28"/>
      <c r="I35" s="31">
        <f>'Table 4A'!I35+'Table 4B'!I35</f>
        <v>0</v>
      </c>
      <c r="J35" s="28"/>
      <c r="K35" s="31">
        <f>'Table 4A'!K35+'Table 4B'!K35</f>
        <v>0</v>
      </c>
    </row>
    <row r="36" spans="1:11" ht="13.5" customHeight="1">
      <c r="A36" s="26"/>
      <c r="B36" s="26" t="s">
        <v>15</v>
      </c>
      <c r="C36" s="12">
        <f>'Table 4A'!C36+'Table 4B'!C36</f>
        <v>0</v>
      </c>
      <c r="D36" s="16"/>
      <c r="E36" s="12">
        <f>'Table 4A'!E36+'Table 4B'!E36</f>
        <v>0</v>
      </c>
      <c r="F36" s="16"/>
      <c r="G36" s="12">
        <f>'Table 4A'!G36+'Table 4B'!G36</f>
        <v>0</v>
      </c>
      <c r="H36" s="16"/>
      <c r="I36" s="12">
        <f>'Table 4A'!I36+'Table 4B'!I36</f>
        <v>0</v>
      </c>
      <c r="J36" s="16"/>
      <c r="K36" s="12">
        <f>'Table 4A'!K36+'Table 4B'!K36</f>
        <v>0</v>
      </c>
    </row>
    <row r="37" spans="1:11" ht="13.5" customHeight="1">
      <c r="A37" s="26"/>
      <c r="B37" s="1" t="s">
        <v>115</v>
      </c>
      <c r="C37" s="32">
        <f>SUM(C34:C36)</f>
        <v>-13891702</v>
      </c>
      <c r="D37" s="16"/>
      <c r="E37" s="32">
        <f>SUM(E34:E36)</f>
        <v>-15088188</v>
      </c>
      <c r="F37" s="16"/>
      <c r="G37" s="32">
        <f>SUM(G34:G36)</f>
        <v>-16403236.733333332</v>
      </c>
      <c r="H37" s="16"/>
      <c r="I37" s="32">
        <f>SUM(I34:I36)</f>
        <v>-17718285.466666665</v>
      </c>
      <c r="J37" s="16"/>
      <c r="K37" s="32">
        <f>SUM(K34:K36)</f>
        <v>-19033334.2</v>
      </c>
    </row>
    <row r="38" spans="1:11" ht="13.5" customHeight="1">
      <c r="A38" s="26"/>
      <c r="B38" s="26"/>
      <c r="C38" s="38"/>
      <c r="D38" s="28"/>
      <c r="E38" s="38"/>
      <c r="F38" s="28"/>
      <c r="G38" s="38"/>
      <c r="H38" s="28"/>
      <c r="I38" s="38"/>
      <c r="J38" s="28"/>
      <c r="K38" s="38"/>
    </row>
    <row r="39" spans="1:11" ht="13.5" customHeight="1">
      <c r="A39" s="1" t="s">
        <v>116</v>
      </c>
      <c r="B39" s="26"/>
      <c r="C39" s="38">
        <f>C31+C37</f>
        <v>15103548</v>
      </c>
      <c r="D39" s="28"/>
      <c r="E39" s="38">
        <f>E31+E37</f>
        <v>14796282.5</v>
      </c>
      <c r="F39" s="28"/>
      <c r="G39" s="38">
        <f>G31+G37</f>
        <v>14370454.266666668</v>
      </c>
      <c r="H39" s="28"/>
      <c r="I39" s="38">
        <f>I31+I37</f>
        <v>13055405.533333335</v>
      </c>
      <c r="J39" s="28"/>
      <c r="K39" s="38">
        <f>K31+K37</f>
        <v>11740356.8</v>
      </c>
    </row>
    <row r="40" spans="1:11" ht="13.5" customHeight="1">
      <c r="A40" s="26"/>
      <c r="B40" s="26"/>
      <c r="C40" s="38"/>
      <c r="D40" s="28"/>
      <c r="E40" s="38"/>
      <c r="F40" s="28"/>
      <c r="G40" s="38"/>
      <c r="H40" s="28"/>
      <c r="I40" s="38"/>
      <c r="J40" s="28"/>
      <c r="K40" s="38"/>
    </row>
    <row r="41" spans="1:11" ht="13.5" customHeight="1">
      <c r="A41" s="1" t="s">
        <v>117</v>
      </c>
      <c r="B41" s="26"/>
      <c r="C41" s="32">
        <f>'Table 4A'!C41+'Table 4B'!C41</f>
        <v>0</v>
      </c>
      <c r="D41" s="16"/>
      <c r="E41" s="32">
        <f>'Table 4A'!E41+'Table 4B'!E41</f>
        <v>0</v>
      </c>
      <c r="F41" s="16"/>
      <c r="G41" s="32">
        <f>'Table 4A'!G41+'Table 4B'!G41</f>
        <v>0</v>
      </c>
      <c r="H41" s="16"/>
      <c r="I41" s="32">
        <f>'Table 4A'!I41+'Table 4B'!I41</f>
        <v>0</v>
      </c>
      <c r="J41" s="16"/>
      <c r="K41" s="32">
        <f>'Table 4A'!K41+'Table 4B'!K41</f>
        <v>0</v>
      </c>
    </row>
    <row r="42" spans="1:11" ht="13.5" customHeight="1">
      <c r="A42" s="26"/>
      <c r="B42" s="26"/>
      <c r="C42" s="31"/>
      <c r="D42" s="28"/>
      <c r="E42" s="31"/>
      <c r="F42" s="28"/>
      <c r="G42" s="31"/>
      <c r="H42" s="28"/>
      <c r="I42" s="31"/>
      <c r="J42" s="28"/>
      <c r="K42" s="31"/>
    </row>
    <row r="43" spans="1:11" ht="13.5" customHeight="1">
      <c r="A43" s="26"/>
      <c r="B43" s="26"/>
      <c r="C43" s="31"/>
      <c r="D43" s="28"/>
      <c r="E43" s="31"/>
      <c r="F43" s="28"/>
      <c r="G43" s="31"/>
      <c r="H43" s="28"/>
      <c r="I43" s="31"/>
      <c r="J43" s="28"/>
      <c r="K43" s="31"/>
    </row>
    <row r="44" spans="1:11" ht="13.5" customHeight="1" thickBot="1">
      <c r="A44" s="1" t="s">
        <v>97</v>
      </c>
      <c r="B44" s="26"/>
      <c r="C44" s="43">
        <f>C17+C24+C39+C41</f>
        <v>32265716</v>
      </c>
      <c r="D44" s="44"/>
      <c r="E44" s="43">
        <f>E17+E24+E39+E41</f>
        <v>32180837.5</v>
      </c>
      <c r="F44" s="44"/>
      <c r="G44" s="43">
        <f>G17+G24+G39+G41</f>
        <v>31970167.266666666</v>
      </c>
      <c r="H44" s="44"/>
      <c r="I44" s="43">
        <f>I17+I24+I39+I41</f>
        <v>30847864.533333335</v>
      </c>
      <c r="J44" s="44"/>
      <c r="K44" s="43">
        <f>K17+K24+K39+K41</f>
        <v>29712960.8</v>
      </c>
    </row>
    <row r="45" spans="1:11" ht="13.5" customHeight="1" thickTop="1">
      <c r="A45" s="26"/>
      <c r="B45" s="26"/>
      <c r="C45" s="22"/>
      <c r="D45" s="22"/>
      <c r="E45" s="22"/>
      <c r="F45" s="22"/>
      <c r="G45" s="22"/>
      <c r="H45" s="22"/>
      <c r="I45" s="22"/>
      <c r="J45" s="22"/>
      <c r="K45" s="22"/>
    </row>
    <row r="46" spans="1:11" ht="13.5" customHeight="1">
      <c r="A46" s="26"/>
      <c r="B46" s="26"/>
      <c r="C46" s="22"/>
      <c r="D46" s="22"/>
      <c r="E46" s="22"/>
      <c r="F46" s="22"/>
      <c r="G46" s="22"/>
      <c r="H46" s="22"/>
      <c r="I46" s="22"/>
      <c r="J46" s="22"/>
      <c r="K46" s="22"/>
    </row>
    <row r="47" spans="1:11" ht="13.5" customHeight="1">
      <c r="A47" s="26"/>
      <c r="B47" s="26"/>
      <c r="C47" s="22"/>
      <c r="D47" s="22"/>
      <c r="E47" s="22"/>
      <c r="F47" s="22"/>
      <c r="G47" s="22"/>
      <c r="H47" s="22"/>
      <c r="I47" s="22"/>
      <c r="J47" s="22"/>
      <c r="K47" s="22"/>
    </row>
    <row r="48" spans="1:11" ht="13.5" customHeight="1">
      <c r="A48" s="1" t="s">
        <v>118</v>
      </c>
      <c r="B48" s="26"/>
      <c r="C48" s="22"/>
      <c r="D48" s="22"/>
      <c r="E48" s="22"/>
      <c r="F48" s="22"/>
      <c r="G48" s="22"/>
      <c r="H48" s="22"/>
      <c r="I48" s="22"/>
      <c r="J48" s="22"/>
      <c r="K48" s="22"/>
    </row>
    <row r="49" spans="2:11" ht="13.5" customHeight="1">
      <c r="B49" s="26"/>
      <c r="C49" s="22"/>
      <c r="D49" s="22"/>
      <c r="E49" s="22"/>
      <c r="F49" s="22"/>
      <c r="G49" s="22"/>
      <c r="H49" s="22"/>
      <c r="I49" s="22"/>
      <c r="J49" s="22"/>
      <c r="K49" s="22"/>
    </row>
    <row r="50" spans="1:11" ht="13.5" customHeight="1">
      <c r="A50" s="1" t="s">
        <v>119</v>
      </c>
      <c r="B50" s="26"/>
      <c r="C50" s="22"/>
      <c r="D50" s="22"/>
      <c r="E50" s="22"/>
      <c r="F50" s="22"/>
      <c r="G50" s="22"/>
      <c r="H50" s="22"/>
      <c r="I50" s="22"/>
      <c r="J50" s="22"/>
      <c r="K50" s="22"/>
    </row>
    <row r="51" spans="2:11" ht="13.5" customHeight="1">
      <c r="B51" s="26" t="s">
        <v>120</v>
      </c>
      <c r="C51" s="38">
        <f>'Table 4A'!C51+'Table 4B'!C51</f>
        <v>6876086</v>
      </c>
      <c r="D51" s="28"/>
      <c r="E51" s="38">
        <f>'Table 4A'!E51+'Table 4B'!E51</f>
        <v>6876086</v>
      </c>
      <c r="F51" s="28"/>
      <c r="G51" s="38">
        <f>'Table 4A'!G51+'Table 4B'!G51</f>
        <v>6876086</v>
      </c>
      <c r="H51" s="28"/>
      <c r="I51" s="38">
        <f>'Table 4A'!I51+'Table 4B'!I51</f>
        <v>6876086</v>
      </c>
      <c r="J51" s="28"/>
      <c r="K51" s="38">
        <f>'Table 4A'!K51+'Table 4B'!K51</f>
        <v>6876086</v>
      </c>
    </row>
    <row r="52" spans="2:11" ht="13.5" customHeight="1">
      <c r="B52" s="26" t="s">
        <v>121</v>
      </c>
      <c r="C52" s="31">
        <f>'Table 4A'!C52+'Table 4B'!C52</f>
        <v>594955</v>
      </c>
      <c r="D52" s="28"/>
      <c r="E52" s="31">
        <f>'Table 4A'!E52+'Table 4B'!E52</f>
        <v>594955</v>
      </c>
      <c r="F52" s="28"/>
      <c r="G52" s="31">
        <f>'Table 4A'!G52+'Table 4B'!G52</f>
        <v>594955</v>
      </c>
      <c r="H52" s="28"/>
      <c r="I52" s="31">
        <f>'Table 4A'!I52+'Table 4B'!I52</f>
        <v>594955</v>
      </c>
      <c r="J52" s="28"/>
      <c r="K52" s="31">
        <f>'Table 4A'!K52+'Table 4B'!K52</f>
        <v>594955</v>
      </c>
    </row>
    <row r="53" spans="2:11" ht="13.5" customHeight="1">
      <c r="B53" s="26" t="s">
        <v>122</v>
      </c>
      <c r="C53" s="31">
        <f>'Table 4A'!C53+'Table 4B'!C53</f>
        <v>0</v>
      </c>
      <c r="D53" s="28"/>
      <c r="E53" s="31">
        <f>'Table 4A'!E53+'Table 4B'!E53</f>
        <v>0</v>
      </c>
      <c r="F53" s="28"/>
      <c r="G53" s="31">
        <f>'Table 4A'!G53+'Table 4B'!G53</f>
        <v>0</v>
      </c>
      <c r="H53" s="28"/>
      <c r="I53" s="31">
        <f>'Table 4A'!I53+'Table 4B'!I53</f>
        <v>0</v>
      </c>
      <c r="J53" s="28"/>
      <c r="K53" s="31">
        <f>'Table 4A'!K53+'Table 4B'!K53</f>
        <v>0</v>
      </c>
    </row>
    <row r="54" spans="2:11" ht="13.5" customHeight="1">
      <c r="B54" s="26" t="s">
        <v>123</v>
      </c>
      <c r="C54" s="31">
        <f>'Table 4A'!C54+'Table 4B'!C54</f>
        <v>854902</v>
      </c>
      <c r="D54" s="28"/>
      <c r="E54" s="31">
        <f>'Table 4A'!E54+'Table 4B'!E54</f>
        <v>854902</v>
      </c>
      <c r="F54" s="28"/>
      <c r="G54" s="31">
        <f>'Table 4A'!G54+'Table 4B'!G54</f>
        <v>854902</v>
      </c>
      <c r="H54" s="28"/>
      <c r="I54" s="31">
        <f>'Table 4A'!I54+'Table 4B'!I54</f>
        <v>854902</v>
      </c>
      <c r="J54" s="28"/>
      <c r="K54" s="31">
        <f>'Table 4A'!K54+'Table 4B'!K54</f>
        <v>854902</v>
      </c>
    </row>
    <row r="55" spans="2:11" ht="13.5" customHeight="1">
      <c r="B55" s="26" t="s">
        <v>124</v>
      </c>
      <c r="C55" s="12">
        <f>'Table 4A'!C55+'Table 4B'!C55</f>
        <v>420000</v>
      </c>
      <c r="D55" s="16"/>
      <c r="E55" s="12">
        <f>'Table 4A'!E55+'Table 4B'!E55</f>
        <v>425000</v>
      </c>
      <c r="F55" s="16"/>
      <c r="G55" s="12">
        <f>'Table 4A'!G55+'Table 4B'!G55</f>
        <v>435000</v>
      </c>
      <c r="H55" s="16"/>
      <c r="I55" s="12">
        <f>'Table 4A'!I55+'Table 4B'!I55</f>
        <v>440000</v>
      </c>
      <c r="J55" s="16"/>
      <c r="K55" s="12">
        <f>'Table 4A'!K55+'Table 4B'!K55</f>
        <v>445000</v>
      </c>
    </row>
    <row r="56" spans="2:11" ht="13.5" customHeight="1">
      <c r="B56" s="1" t="s">
        <v>125</v>
      </c>
      <c r="C56" s="32">
        <f>SUM(C51:C55)</f>
        <v>8745943</v>
      </c>
      <c r="D56" s="16"/>
      <c r="E56" s="32">
        <f>SUM(E51:E55)</f>
        <v>8750943</v>
      </c>
      <c r="F56" s="16"/>
      <c r="G56" s="32">
        <f>SUM(G51:G55)</f>
        <v>8760943</v>
      </c>
      <c r="H56" s="16"/>
      <c r="I56" s="32">
        <f>SUM(I51:I55)</f>
        <v>8765943</v>
      </c>
      <c r="J56" s="16"/>
      <c r="K56" s="32">
        <f>SUM(K51:K55)</f>
        <v>8770943</v>
      </c>
    </row>
    <row r="57" spans="2:11" ht="13.5" customHeight="1">
      <c r="B57" s="26"/>
      <c r="C57" s="22"/>
      <c r="D57" s="22"/>
      <c r="E57" s="22"/>
      <c r="F57" s="22"/>
      <c r="G57" s="22"/>
      <c r="H57" s="22"/>
      <c r="I57" s="22"/>
      <c r="J57" s="22"/>
      <c r="K57" s="22"/>
    </row>
    <row r="58" spans="1:11" ht="13.5" customHeight="1">
      <c r="A58" s="1" t="s">
        <v>126</v>
      </c>
      <c r="B58" s="26"/>
      <c r="C58" s="22"/>
      <c r="D58" s="22"/>
      <c r="E58" s="22"/>
      <c r="F58" s="22"/>
      <c r="G58" s="22"/>
      <c r="H58" s="22"/>
      <c r="I58" s="22"/>
      <c r="J58" s="22"/>
      <c r="K58" s="22"/>
    </row>
    <row r="59" spans="2:11" ht="13.5" customHeight="1">
      <c r="B59" s="26" t="s">
        <v>127</v>
      </c>
      <c r="C59" s="38">
        <f>'Table 4A'!C59+'Table 4B'!C59</f>
        <v>4368878</v>
      </c>
      <c r="D59" s="28"/>
      <c r="E59" s="38">
        <f>'Table 4A'!E59+'Table 4B'!E59</f>
        <v>3948878</v>
      </c>
      <c r="F59" s="28"/>
      <c r="G59" s="38">
        <f>'Table 4A'!G59+'Table 4B'!G59</f>
        <v>3523878</v>
      </c>
      <c r="H59" s="28"/>
      <c r="I59" s="38">
        <f>'Table 4A'!I59+'Table 4B'!I59</f>
        <v>3088878</v>
      </c>
      <c r="J59" s="28"/>
      <c r="K59" s="38">
        <f>'Table 4A'!K59+'Table 4B'!K59</f>
        <v>2648878</v>
      </c>
    </row>
    <row r="60" spans="2:11" ht="13.5" customHeight="1">
      <c r="B60" s="26" t="s">
        <v>128</v>
      </c>
      <c r="C60" s="31">
        <f>'Table 4A'!C60+'Table 4B'!C60</f>
        <v>0</v>
      </c>
      <c r="D60" s="28"/>
      <c r="E60" s="31">
        <f>'Table 4A'!E60+'Table 4B'!E60</f>
        <v>0</v>
      </c>
      <c r="F60" s="28"/>
      <c r="G60" s="31">
        <f>'Table 4A'!G60+'Table 4B'!G60</f>
        <v>0</v>
      </c>
      <c r="H60" s="28"/>
      <c r="I60" s="31">
        <f>'Table 4A'!I60+'Table 4B'!I60</f>
        <v>0</v>
      </c>
      <c r="J60" s="28"/>
      <c r="K60" s="31">
        <f>'Table 4A'!K60+'Table 4B'!K60</f>
        <v>0</v>
      </c>
    </row>
    <row r="61" spans="2:11" ht="13.5" customHeight="1">
      <c r="B61" s="26" t="s">
        <v>129</v>
      </c>
      <c r="C61" s="12">
        <f>'Table 4A'!C61+'Table 4B'!C61</f>
        <v>0</v>
      </c>
      <c r="D61" s="16"/>
      <c r="E61" s="12">
        <f>'Table 4A'!E61+'Table 4B'!E61</f>
        <v>0</v>
      </c>
      <c r="F61" s="16"/>
      <c r="G61" s="12">
        <f>'Table 4A'!G61+'Table 4B'!G61</f>
        <v>0</v>
      </c>
      <c r="H61" s="16"/>
      <c r="I61" s="12">
        <f>'Table 4A'!I61+'Table 4B'!I61</f>
        <v>0</v>
      </c>
      <c r="J61" s="16"/>
      <c r="K61" s="12">
        <f>'Table 4A'!K61+'Table 4B'!K61</f>
        <v>0</v>
      </c>
    </row>
    <row r="62" spans="2:11" ht="13.5" customHeight="1">
      <c r="B62" s="1" t="s">
        <v>130</v>
      </c>
      <c r="C62" s="32">
        <f>SUM(C59:C61)</f>
        <v>4368878</v>
      </c>
      <c r="D62" s="16"/>
      <c r="E62" s="32">
        <f>SUM(E59:E61)</f>
        <v>3948878</v>
      </c>
      <c r="F62" s="16"/>
      <c r="G62" s="32">
        <f>SUM(G59:G61)</f>
        <v>3523878</v>
      </c>
      <c r="H62" s="16"/>
      <c r="I62" s="32">
        <f>SUM(I59:I61)</f>
        <v>3088878</v>
      </c>
      <c r="J62" s="16"/>
      <c r="K62" s="32">
        <f>SUM(K59:K61)</f>
        <v>2648878</v>
      </c>
    </row>
    <row r="63" spans="2:11" ht="13.5" customHeight="1">
      <c r="B63" s="26"/>
      <c r="C63" s="22"/>
      <c r="D63" s="22"/>
      <c r="E63" s="22"/>
      <c r="F63" s="22"/>
      <c r="G63" s="22"/>
      <c r="H63" s="22"/>
      <c r="I63" s="22"/>
      <c r="J63" s="22"/>
      <c r="K63" s="22"/>
    </row>
    <row r="64" spans="1:11" ht="13.5" customHeight="1">
      <c r="A64" s="1" t="s">
        <v>131</v>
      </c>
      <c r="B64" s="26"/>
      <c r="C64" s="32">
        <f>'Table 4A'!C64+'Table 4B'!C64</f>
        <v>0</v>
      </c>
      <c r="D64" s="16"/>
      <c r="E64" s="32">
        <f>'Table 4A'!E64+'Table 4B'!E64</f>
        <v>0</v>
      </c>
      <c r="F64" s="16"/>
      <c r="G64" s="32">
        <f>'Table 4A'!G64+'Table 4B'!G64</f>
        <v>0</v>
      </c>
      <c r="H64" s="16"/>
      <c r="I64" s="32">
        <f>'Table 4A'!I64+'Table 4B'!I64</f>
        <v>0</v>
      </c>
      <c r="J64" s="16"/>
      <c r="K64" s="32">
        <f>'Table 4A'!K64+'Table 4B'!K64</f>
        <v>0</v>
      </c>
    </row>
    <row r="65" spans="2:11" ht="13.5" customHeight="1">
      <c r="B65" s="26"/>
      <c r="C65" s="22"/>
      <c r="D65" s="22"/>
      <c r="E65" s="22"/>
      <c r="F65" s="22"/>
      <c r="G65" s="22"/>
      <c r="H65" s="22"/>
      <c r="I65" s="22"/>
      <c r="J65" s="22"/>
      <c r="K65" s="22"/>
    </row>
    <row r="66" spans="1:11" ht="13.5" customHeight="1">
      <c r="A66" s="1" t="s">
        <v>132</v>
      </c>
      <c r="B66" s="26"/>
      <c r="C66" s="38">
        <f>C56+C62+C64</f>
        <v>13114821</v>
      </c>
      <c r="D66" s="28"/>
      <c r="E66" s="38">
        <f>E56+E62+E64</f>
        <v>12699821</v>
      </c>
      <c r="F66" s="28"/>
      <c r="G66" s="38">
        <f>G56+G62+G64</f>
        <v>12284821</v>
      </c>
      <c r="H66" s="28"/>
      <c r="I66" s="38">
        <f>I56+I62+I64</f>
        <v>11854821</v>
      </c>
      <c r="J66" s="28"/>
      <c r="K66" s="38">
        <f>K56+K62+K64</f>
        <v>11419821</v>
      </c>
    </row>
    <row r="67" spans="2:11" ht="13.5" customHeight="1">
      <c r="B67" s="26"/>
      <c r="C67" s="22"/>
      <c r="D67" s="22"/>
      <c r="E67" s="22"/>
      <c r="F67" s="22"/>
      <c r="G67" s="22"/>
      <c r="H67" s="22"/>
      <c r="I67" s="22"/>
      <c r="J67" s="22"/>
      <c r="K67" s="22"/>
    </row>
    <row r="68" spans="1:11" ht="13.5" customHeight="1">
      <c r="A68" s="1" t="s">
        <v>133</v>
      </c>
      <c r="B68" s="26"/>
      <c r="C68" s="32">
        <f>'Table 4A'!C68+'Table 4B'!C68</f>
        <v>19150895.05</v>
      </c>
      <c r="D68" s="16"/>
      <c r="E68" s="32">
        <f>'Table 4A'!E68+'Table 4B'!E68</f>
        <v>19481017.05</v>
      </c>
      <c r="F68" s="16"/>
      <c r="G68" s="32">
        <f>'Table 4A'!G68+'Table 4B'!G68</f>
        <v>19685346.259999994</v>
      </c>
      <c r="H68" s="16"/>
      <c r="I68" s="32">
        <f>'Table 4A'!I68+'Table 4B'!I68</f>
        <v>18993043.57229999</v>
      </c>
      <c r="J68" s="16"/>
      <c r="K68" s="32">
        <f>'Table 4A'!K68+'Table 4B'!K68</f>
        <v>18293139.592364985</v>
      </c>
    </row>
    <row r="69" spans="2:11" ht="13.5" customHeight="1">
      <c r="B69" s="26"/>
      <c r="C69" s="22"/>
      <c r="D69" s="22"/>
      <c r="E69" s="22"/>
      <c r="F69" s="22"/>
      <c r="G69" s="22"/>
      <c r="H69" s="22"/>
      <c r="I69" s="22"/>
      <c r="J69" s="22"/>
      <c r="K69" s="22"/>
    </row>
    <row r="70" spans="2:11" ht="13.5" customHeight="1">
      <c r="B70" s="26"/>
      <c r="C70" s="22"/>
      <c r="D70" s="22"/>
      <c r="E70" s="22"/>
      <c r="F70" s="22"/>
      <c r="G70" s="22"/>
      <c r="H70" s="22"/>
      <c r="I70" s="22"/>
      <c r="J70" s="22"/>
      <c r="K70" s="22"/>
    </row>
    <row r="71" spans="1:11" ht="13.5" customHeight="1" thickBot="1">
      <c r="A71" s="1" t="s">
        <v>98</v>
      </c>
      <c r="B71" s="26"/>
      <c r="C71" s="43">
        <f>C66+C68</f>
        <v>32265716.05</v>
      </c>
      <c r="D71" s="44"/>
      <c r="E71" s="43">
        <f>E66+E68</f>
        <v>32180838.05</v>
      </c>
      <c r="F71" s="44"/>
      <c r="G71" s="43">
        <f>G66+G68</f>
        <v>31970167.259999994</v>
      </c>
      <c r="H71" s="44"/>
      <c r="I71" s="43">
        <f>I66+I68</f>
        <v>30847864.57229999</v>
      </c>
      <c r="J71" s="44"/>
      <c r="K71" s="43">
        <f>K66+K68</f>
        <v>29712960.592364985</v>
      </c>
    </row>
    <row r="72" spans="3:11" ht="13.5" thickTop="1">
      <c r="C72" s="22"/>
      <c r="D72" s="22"/>
      <c r="E72" s="22"/>
      <c r="F72" s="22"/>
      <c r="G72" s="22"/>
      <c r="H72" s="22"/>
      <c r="I72" s="22"/>
      <c r="J72" s="22"/>
      <c r="K72" s="22"/>
    </row>
    <row r="74" spans="3:11" ht="12.75">
      <c r="C74" s="185">
        <f>C71-C44</f>
        <v>0.05000000074505806</v>
      </c>
      <c r="E74" s="185">
        <f>E71-E44</f>
        <v>0.5500000007450581</v>
      </c>
      <c r="G74" s="186">
        <f>G71-G44</f>
        <v>-0.006666671484708786</v>
      </c>
      <c r="I74" s="185">
        <f>I71-I44</f>
        <v>0.03896665573120117</v>
      </c>
      <c r="K74" s="185">
        <f>K71-K44</f>
        <v>-0.20763501524925232</v>
      </c>
    </row>
  </sheetData>
  <sheetProtection/>
  <mergeCells count="5">
    <mergeCell ref="A5:K5"/>
    <mergeCell ref="A1:K1"/>
    <mergeCell ref="A2:K2"/>
    <mergeCell ref="A3:K3"/>
    <mergeCell ref="A4:K4"/>
  </mergeCells>
  <printOptions horizontalCentered="1"/>
  <pageMargins left="0.25" right="0.25" top="0.77" bottom="0.75" header="0.5" footer="0.5"/>
  <pageSetup fitToHeight="1" fitToWidth="1" horizontalDpi="600" verticalDpi="600" orientation="portrait" scale="72" r:id="rId1"/>
  <headerFooter alignWithMargins="0">
    <oddHeader>&amp;L&amp;11NOTE: This table requires no 'fill-in' as it is populated automatically from Tables 4A &amp;&amp; 4B.</oddHeader>
    <oddFooter>&amp;L&amp;D
Health Care Administration&amp;R&amp;F,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pjsantos</dc:creator>
  <cp:keywords/>
  <dc:description/>
  <cp:lastModifiedBy>Kenneth Hughes</cp:lastModifiedBy>
  <cp:lastPrinted>2006-02-03T15:23:01Z</cp:lastPrinted>
  <dcterms:created xsi:type="dcterms:W3CDTF">2004-02-11T14:06:19Z</dcterms:created>
  <dcterms:modified xsi:type="dcterms:W3CDTF">2024-01-17T15:33:24Z</dcterms:modified>
  <cp:category/>
  <cp:version/>
  <cp:contentType/>
  <cp:contentStatus/>
</cp:coreProperties>
</file>