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3980" windowHeight="8715" tabRatio="911" activeTab="0"/>
  </bookViews>
  <sheets>
    <sheet name="List" sheetId="1" r:id="rId1"/>
    <sheet name="Table 1" sheetId="2" r:id="rId2"/>
    <sheet name="Table 2" sheetId="3" r:id="rId3"/>
    <sheet name="Table 3A" sheetId="4" r:id="rId4"/>
    <sheet name="Table 3B" sheetId="5" r:id="rId5"/>
    <sheet name="Table 3C" sheetId="6" r:id="rId6"/>
    <sheet name="Table 4A" sheetId="7" r:id="rId7"/>
    <sheet name="Table 4B" sheetId="8" r:id="rId8"/>
    <sheet name="Table 4C" sheetId="9" r:id="rId9"/>
    <sheet name="Table 5A" sheetId="10" r:id="rId10"/>
    <sheet name="Table 5B" sheetId="11" r:id="rId11"/>
    <sheet name="Table 5C" sheetId="12" r:id="rId12"/>
    <sheet name="Sheet1" sheetId="13" r:id="rId13"/>
  </sheets>
  <definedNames>
    <definedName name="_Order1" hidden="1">0</definedName>
    <definedName name="_Order2" hidden="1">0</definedName>
    <definedName name="_xlfn.SINGLE" hidden="1">#NAME?</definedName>
    <definedName name="PAYER">#REF!</definedName>
    <definedName name="PL">#REF!</definedName>
    <definedName name="_xlnm.Print_Area" localSheetId="1">'Table 1'!$A$1:$F$51</definedName>
    <definedName name="_xlnm.Print_Area" localSheetId="2">'Table 2'!$A$1:$G$46</definedName>
    <definedName name="_xlnm.Print_Area" localSheetId="3">'Table 3A'!$A$1:$K$47</definedName>
    <definedName name="_xlnm.Print_Area" localSheetId="4">'Table 3B'!$A$1:$K$47</definedName>
    <definedName name="_xlnm.Print_Area" localSheetId="5">'Table 3C'!$A$1:$K$47</definedName>
    <definedName name="_xlnm.Print_Area" localSheetId="6">'Table 4A'!$A$1:$K$71</definedName>
    <definedName name="_xlnm.Print_Area" localSheetId="7">'Table 4B'!$A$1:$K$71</definedName>
    <definedName name="_xlnm.Print_Area" localSheetId="8">'Table 4C'!$A$1:$K$71</definedName>
    <definedName name="_xlnm.Print_Area" localSheetId="9">'Table 5A'!$A$1:$K$50</definedName>
    <definedName name="_xlnm.Print_Area" localSheetId="10">'Table 5B'!$A$1:$K$50</definedName>
    <definedName name="_xlnm.Print_Area" localSheetId="11">'Table 5C'!$A$1:$K$50</definedName>
  </definedNames>
  <calcPr fullCalcOnLoad="1"/>
</workbook>
</file>

<file path=xl/sharedStrings.xml><?xml version="1.0" encoding="utf-8"?>
<sst xmlns="http://schemas.openxmlformats.org/spreadsheetml/2006/main" count="577" uniqueCount="227">
  <si>
    <t>Proposed</t>
  </si>
  <si>
    <t>Year 1</t>
  </si>
  <si>
    <t>Year 2</t>
  </si>
  <si>
    <t>Year 3</t>
  </si>
  <si>
    <t>TABLE 1</t>
  </si>
  <si>
    <t>Construction Costs</t>
  </si>
  <si>
    <t>New Construction</t>
  </si>
  <si>
    <t>Renovation</t>
  </si>
  <si>
    <t>Design/Bidding Contingency</t>
  </si>
  <si>
    <t>Construction Contingency</t>
  </si>
  <si>
    <t>Site Work</t>
  </si>
  <si>
    <t>Fixed Equipment</t>
  </si>
  <si>
    <t>Construction Manager Fee</t>
  </si>
  <si>
    <t>Subtotal</t>
  </si>
  <si>
    <t>Related Project Costs</t>
  </si>
  <si>
    <t>Major Moveable Equipment</t>
  </si>
  <si>
    <t>Architectural/Engineering Fees</t>
  </si>
  <si>
    <t>Land Acquisition</t>
  </si>
  <si>
    <t>Purchase of Buildings</t>
  </si>
  <si>
    <t>Administrative Expenses &amp; Permits</t>
  </si>
  <si>
    <t>Debt Financing Expenses</t>
  </si>
  <si>
    <t>Other</t>
  </si>
  <si>
    <t>Total Project Costs</t>
  </si>
  <si>
    <t>Other  (please specify)</t>
  </si>
  <si>
    <t>Capital Interest</t>
  </si>
  <si>
    <t>Bond Discount or Placement Fee</t>
  </si>
  <si>
    <t>TABLE 2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</si>
  <si>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</si>
  <si>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</si>
  <si>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</si>
  <si>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</si>
  <si>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</si>
  <si>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Sources of Funds</t>
  </si>
  <si>
    <t>Financing Instrument</t>
  </si>
  <si>
    <t>Interest Rate</t>
  </si>
  <si>
    <t>Amount Financed</t>
  </si>
  <si>
    <t>Loan Period</t>
  </si>
  <si>
    <t>Equity Contribution</t>
  </si>
  <si>
    <t>Working Capital</t>
  </si>
  <si>
    <t>Bond</t>
  </si>
  <si>
    <t>To:</t>
  </si>
  <si>
    <t>Funded Depreciation</t>
  </si>
  <si>
    <t>Total Required Funds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</si>
  <si>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</si>
  <si>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</si>
  <si>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</si>
  <si>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</si>
  <si>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</si>
  <si>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</si>
  <si>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</si>
  <si>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a. </t>
  </si>
  <si>
    <t xml:space="preserve">b. </t>
  </si>
  <si>
    <t xml:space="preserve">c. </t>
  </si>
  <si>
    <t xml:space="preserve">d. </t>
  </si>
  <si>
    <t>Uses of Funds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</si>
  <si>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</si>
  <si>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</si>
  <si>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</si>
  <si>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</si>
  <si>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</si>
  <si>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</si>
  <si>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</si>
  <si>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Debt Service Reserve Fund</t>
  </si>
  <si>
    <t xml:space="preserve">15. </t>
  </si>
  <si>
    <t xml:space="preserve">16. </t>
  </si>
  <si>
    <t xml:space="preserve">17. </t>
  </si>
  <si>
    <t>Total Uses of Funds</t>
  </si>
  <si>
    <t>Project Costs  (feeds from Table 1)</t>
  </si>
  <si>
    <t>Total sources should equal total uses of funds.</t>
  </si>
  <si>
    <t>should be zero</t>
  </si>
  <si>
    <t>Latest Actual</t>
  </si>
  <si>
    <t>WITHOUT PROJECT</t>
  </si>
  <si>
    <t>Deductions from Revenue</t>
  </si>
  <si>
    <t>Latest actual numbers should tie to the hospital budget process.</t>
  </si>
  <si>
    <t>PROJECT ONLY</t>
  </si>
  <si>
    <t>WITH PROJECT</t>
  </si>
  <si>
    <t>Furnishings, Fixtures &amp; Other Equip.</t>
  </si>
  <si>
    <t>INCOME STATEMENT</t>
  </si>
  <si>
    <t>Revenues</t>
  </si>
  <si>
    <t>Inpatient Care Revenue</t>
  </si>
  <si>
    <t>Outpatient Care Revenue</t>
  </si>
  <si>
    <t>Chronic/Rehab Revenue</t>
  </si>
  <si>
    <t>SNF/ECF Patient Care Revenue</t>
  </si>
  <si>
    <t>Swing Beds Patient Care Revenue</t>
  </si>
  <si>
    <t>Gross Patient Care Revenue</t>
  </si>
  <si>
    <t>Disproportionate Share Payments</t>
  </si>
  <si>
    <t>Free Care &amp; Bad Debt</t>
  </si>
  <si>
    <t>Net Patient Care Revenue</t>
  </si>
  <si>
    <t>Other Operating Revenue</t>
  </si>
  <si>
    <t>Total Operating Revenue</t>
  </si>
  <si>
    <t>Operating Expense</t>
  </si>
  <si>
    <t>Salaries (Non-MD)</t>
  </si>
  <si>
    <t>Frings Benefits (Non-MD)</t>
  </si>
  <si>
    <t>Physician Fees/Salaries/Contracts/Fringes</t>
  </si>
  <si>
    <t>Health Care Provider Tax</t>
  </si>
  <si>
    <t>Depreciation/Amortization</t>
  </si>
  <si>
    <t>Interest</t>
  </si>
  <si>
    <t>Other Operating Expense</t>
  </si>
  <si>
    <t>Total Operating Expense</t>
  </si>
  <si>
    <t>Net Operating Income (Loss)</t>
  </si>
  <si>
    <t>Non-Operating Revenue</t>
  </si>
  <si>
    <t>Excess (Deficit) of Rev Over Exp</t>
  </si>
  <si>
    <t>BALANCE SHEET - UNRESTRICTED FUNDS</t>
  </si>
  <si>
    <t>TOTAL ASSETS</t>
  </si>
  <si>
    <t>TOTAL LIABILITIES &amp; FUND BALANCE</t>
  </si>
  <si>
    <t>ASSETS</t>
  </si>
  <si>
    <t>Current Assets</t>
  </si>
  <si>
    <t>Cash &amp; Investments</t>
  </si>
  <si>
    <t>Patient Accounts Receivable, Gross</t>
  </si>
  <si>
    <t>Less: Allowance for Uncollectable Accts.</t>
  </si>
  <si>
    <t>Due from Third Parties</t>
  </si>
  <si>
    <t>Other Current Assets</t>
  </si>
  <si>
    <t>Total Current Assets</t>
  </si>
  <si>
    <t>Board Designated Assets</t>
  </si>
  <si>
    <t>Escrowed Bond Funds</t>
  </si>
  <si>
    <t>Total Board Designated Assets</t>
  </si>
  <si>
    <t>Property, Plant &amp; Equipment</t>
  </si>
  <si>
    <t>Land, Buildings &amp; Improvements</t>
  </si>
  <si>
    <t>Construction in Progress</t>
  </si>
  <si>
    <t>Total Property, Plant &amp; Equipment</t>
  </si>
  <si>
    <t>Less: Accumulated Depreciation</t>
  </si>
  <si>
    <t>Total Accumulated Depreciation</t>
  </si>
  <si>
    <t>Total Net Property, Plant &amp; Equipment</t>
  </si>
  <si>
    <t>Other Long-Term Assets</t>
  </si>
  <si>
    <t>LIABILITIES AND FUND BALANCE</t>
  </si>
  <si>
    <t>Current Liabilities</t>
  </si>
  <si>
    <t>Accounts Payable</t>
  </si>
  <si>
    <t>Salaries, Wages &amp; Payroll Taxes Payable</t>
  </si>
  <si>
    <t>Estimated Third-Party Settlements</t>
  </si>
  <si>
    <t>Other Current Liabilities</t>
  </si>
  <si>
    <t>Current Portion of Long-Term Debt</t>
  </si>
  <si>
    <t>Total Current Liabilities</t>
  </si>
  <si>
    <t>Long-Term Debt</t>
  </si>
  <si>
    <t>Bonds &amp; Mortgages Payable</t>
  </si>
  <si>
    <t>Capital Lease Obligations</t>
  </si>
  <si>
    <t>Other Long-Term Debt</t>
  </si>
  <si>
    <t>Total Long-Term Debt</t>
  </si>
  <si>
    <t>Total Other Non-Current Liabilities</t>
  </si>
  <si>
    <t>Total Liabilities</t>
  </si>
  <si>
    <t>Fund Balance</t>
  </si>
  <si>
    <t>Debt Financing Expenses (see below)</t>
  </si>
  <si>
    <t>Misc. Financing Fees &amp; Exp. (issuance costs)</t>
  </si>
  <si>
    <t>feeds to line 7 above</t>
  </si>
  <si>
    <t>PROJECT COSTS</t>
  </si>
  <si>
    <t>Other Sources</t>
  </si>
  <si>
    <t>Fundraising</t>
  </si>
  <si>
    <t>Grants</t>
  </si>
  <si>
    <t>STATEMENT OF CASH FLOWS</t>
  </si>
  <si>
    <t>Beginning Cash</t>
  </si>
  <si>
    <t>Operations</t>
  </si>
  <si>
    <t>Excess revenues over expenses</t>
  </si>
  <si>
    <t>Depreciation / Amortization</t>
  </si>
  <si>
    <t>(Increase)/Decrease Patient A/R</t>
  </si>
  <si>
    <t>(Increase)/Decrease Other Changes</t>
  </si>
  <si>
    <t>Subtotal Cash from Operations</t>
  </si>
  <si>
    <t>Investing Activity</t>
  </si>
  <si>
    <t>Capital Spending</t>
  </si>
  <si>
    <t xml:space="preserve">Capital </t>
  </si>
  <si>
    <t>Capitalized Interest</t>
  </si>
  <si>
    <t>Change in accum depr less depreciation</t>
  </si>
  <si>
    <t>(Increase) Decrease in capital  assets</t>
  </si>
  <si>
    <t>Subtotal Capital Spending</t>
  </si>
  <si>
    <t>(Increase) / Decrease</t>
  </si>
  <si>
    <t>Other LT assets &amp; escrowed bonds &amp; other</t>
  </si>
  <si>
    <t>Subtotal (Increase) / Decrease</t>
  </si>
  <si>
    <t>Subtotal Cash from Investing Activity</t>
  </si>
  <si>
    <t>Financing Activity</t>
  </si>
  <si>
    <t>Debt (increase) decrease</t>
  </si>
  <si>
    <t>Bonds &amp; mortgages</t>
  </si>
  <si>
    <t>Repayment</t>
  </si>
  <si>
    <t>Capital lease &amp; other long term debt</t>
  </si>
  <si>
    <t>Subtotal Cash from Financing Activity</t>
  </si>
  <si>
    <t>Other Changes (please describe)</t>
  </si>
  <si>
    <t>Manual adjustment</t>
  </si>
  <si>
    <t>Change in fund balance less net income</t>
  </si>
  <si>
    <t>Subtotal Other Changes</t>
  </si>
  <si>
    <t>Net Increase (Decrease) in Cash</t>
  </si>
  <si>
    <t>Ending Cash</t>
  </si>
  <si>
    <t>Edit</t>
  </si>
  <si>
    <t>TABLE 3A</t>
  </si>
  <si>
    <t>TABLE 3B</t>
  </si>
  <si>
    <t>TABLE 3C</t>
  </si>
  <si>
    <t>TABLE 5A</t>
  </si>
  <si>
    <t>TABLE 5B</t>
  </si>
  <si>
    <t>TABLE 5C</t>
  </si>
  <si>
    <t>Budget</t>
  </si>
  <si>
    <t>TABLE 4A</t>
  </si>
  <si>
    <t>TABLE 4B</t>
  </si>
  <si>
    <t>TABLE 4C</t>
  </si>
  <si>
    <t>Table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</si>
  <si>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</si>
  <si>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</si>
  <si>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</si>
  <si>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</si>
  <si>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</si>
  <si>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</si>
  <si>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</si>
  <si>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</si>
  <si>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</si>
  <si>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</si>
  <si>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</si>
  <si>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</si>
  <si>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Project Costs</t>
  </si>
  <si>
    <t>Debt Financing Arrangement: Sources &amp; Uses of Funds</t>
  </si>
  <si>
    <t>Income Statement: Without Project</t>
  </si>
  <si>
    <t>Income Statement: Project Only</t>
  </si>
  <si>
    <t>Balance Sheet - Unrestricted Funds: Without Project</t>
  </si>
  <si>
    <t>Balance Sheet - Unrestricted Funds: Project Only</t>
  </si>
  <si>
    <t>Statement of Cash Flows: Without Project</t>
  </si>
  <si>
    <t>Statement of Cash Flows: Project Only</t>
  </si>
  <si>
    <t>Revenue Source Projections: Without Project</t>
  </si>
  <si>
    <t>Revenue Source Projections: Project Only</t>
  </si>
  <si>
    <t>Utilization Projections: Totals</t>
  </si>
  <si>
    <t>Description</t>
  </si>
  <si>
    <t>Staffing Projections: Totals</t>
  </si>
  <si>
    <t>Utilization Projections: Project Specific</t>
  </si>
  <si>
    <t>DEBT FINANCING ARRANGEMENT, SOURCES &amp; USES OF FUNDS</t>
  </si>
  <si>
    <t>Income Statement: With Project (no 'fill-in' required)</t>
  </si>
  <si>
    <t>Balance Sheet - Unrestricted Funds: With Project (no 'fill-in' required)</t>
  </si>
  <si>
    <t>Statement of Cash Flows: With Project (no 'fill-in' required)</t>
  </si>
  <si>
    <t>Revenue Source Projections: With Project (no 'fill-in' required)</t>
  </si>
  <si>
    <r>
      <t xml:space="preserve">Applicants are encouraged to submit an electronic version of a completed application via attachment to email. Please send electronic versions as attachments to email addressed to: </t>
    </r>
    <r>
      <rPr>
        <b/>
        <sz val="11.5"/>
        <rFont val="Arial"/>
        <family val="2"/>
      </rPr>
      <t>jgarson@bishca.state.vt.us</t>
    </r>
  </si>
  <si>
    <t>Required Tables</t>
  </si>
  <si>
    <r>
      <t>When completing the tables please note that you need only fill-in the</t>
    </r>
    <r>
      <rPr>
        <b/>
        <sz val="11.5"/>
        <color indexed="63"/>
        <rFont val="Arial"/>
        <family val="2"/>
      </rPr>
      <t xml:space="preserve"> shaded fields.</t>
    </r>
    <r>
      <rPr>
        <sz val="11.5"/>
        <rFont val="Arial"/>
        <family val="2"/>
      </rPr>
      <t xml:space="preserve"> Fields with diagonal lines indicating </t>
    </r>
    <r>
      <rPr>
        <b/>
        <sz val="11.5"/>
        <color indexed="12"/>
        <rFont val="Arial"/>
        <family val="2"/>
      </rPr>
      <t>N/A</t>
    </r>
    <r>
      <rPr>
        <sz val="11.5"/>
        <rFont val="Arial"/>
        <family val="2"/>
      </rPr>
      <t xml:space="preserve"> do not requiry an entry.The CON Application Form tables, when completed electronically, are set up to calculate totals as well as pre-populate fields in other tables for you. If you have any questions please contact Division staff. Also, please contact Division staff prior to determining if a given table may not be applicable for your project.                                                                                                                                                                                                                                 </t>
    </r>
  </si>
  <si>
    <t>Northeast Kingdom Human Services</t>
  </si>
  <si>
    <t>Front Porch Residential Facility</t>
  </si>
  <si>
    <t>WITHOUT PROJECT Prorated for FY'23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</si>
</sst>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0.0_)"/>
    <numFmt numFmtId="168" formatCode="#,##0.0_);\(#,##0.0\)"/>
    <numFmt numFmtId="169" formatCode="_(&quot;$&quot;* #,##0_);_(&quot;$&quot;* \(#,##0\);_(&quot;$&quot;* &quot;-&quot;??_);_(@_)"/>
    <numFmt numFmtId="170" formatCode="&quot;$&quot;#,##0"/>
    <numFmt numFmtId="171" formatCode="General;[Red]\-General"/>
    <numFmt numFmtId="172" formatCode="&quot;$&quot;#,##0;[Red]\-&quot;$&quot;#,##0"/>
    <numFmt numFmtId="173" formatCode="0;[Red]\-0"/>
    <numFmt numFmtId="174" formatCode="0.0"/>
    <numFmt numFmtId="175" formatCode="_(&quot;$&quot;* #,##0.0_);_(&quot;$&quot;* \(#,##0.0\);_(&quot;$&quot;* &quot;-&quot;??_);_(@_)"/>
    <numFmt numFmtId="176" formatCode="0.0000000000000"/>
    <numFmt numFmtId="177" formatCode="&quot;$&quot;#,##0.0_);\(&quot;$&quot;#,##0.0\)"/>
    <numFmt numFmtId="178" formatCode="_(* #,##0_);_(* \(#,##0\);_(* &quot;-&quot;??_);_(@_)"/>
    <numFmt numFmtId="179" formatCode="0.000000"/>
    <numFmt numFmtId="180" formatCode="0.00000"/>
    <numFmt numFmtId="181" formatCode="0.0000"/>
    <numFmt numFmtId="182" formatCode="0.000"/>
    <numFmt numFmtId="183" formatCode="_(* #,##0.0_);_(* \(#,##0.0\);_(* &quot;-&quot;??_);_(@_)"/>
    <numFmt numFmtId="184" formatCode="&quot;$&quot;#,##0.000_);\(&quot;$&quot;#,##0.000\)"/>
    <numFmt numFmtId="185" formatCode="#,##0.0"/>
    <numFmt numFmtId="186" formatCode="0.000%"/>
    <numFmt numFmtId="187" formatCode="&quot;$&quot;#,##0.00"/>
    <numFmt numFmtId="188" formatCode="_(* #,##0.0_);_(* \(#,##0.0\);_(* &quot;-&quot;?_);_(@_)"/>
    <numFmt numFmtId="189" formatCode="0.0000%"/>
    <numFmt numFmtId="190" formatCode="0.00000%"/>
    <numFmt numFmtId="191" formatCode="0.000000%"/>
    <numFmt numFmtId="192" formatCode="0.0000000"/>
    <numFmt numFmtId="193" formatCode="&quot;$&quot;#,##0.0"/>
    <numFmt numFmtId="194" formatCode="&quot;$&quot;#,##0.000"/>
    <numFmt numFmtId="195" formatCode="&quot;$&quot;#,##0.0000"/>
    <numFmt numFmtId="196" formatCode="&quot;$&quot;#,##0.000000"/>
    <numFmt numFmtId="197" formatCode="0_);\(0\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mmmm\-yy"/>
    <numFmt numFmtId="201" formatCode="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dddd\,\ mmmm\ d\,\ yyyy"/>
    <numFmt numFmtId="207" formatCode="[$-409]h:mm:ss\ AM/PM"/>
    <numFmt numFmtId="208" formatCode="0.00;[Red]0.00"/>
  </numFmts>
  <fonts count="58">
    <font>
      <sz val="10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u val="single"/>
      <sz val="20"/>
      <name val="Arial"/>
      <family val="2"/>
    </font>
    <font>
      <b/>
      <sz val="9"/>
      <color indexed="12"/>
      <name val="Arial"/>
      <family val="2"/>
    </font>
    <font>
      <b/>
      <sz val="11.5"/>
      <color indexed="63"/>
      <name val="Arial"/>
      <family val="2"/>
    </font>
    <font>
      <b/>
      <sz val="11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0" xfId="44" applyNumberFormat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5" fontId="0" fillId="0" borderId="13" xfId="0" applyNumberFormat="1" applyBorder="1" applyAlignment="1">
      <alignment horizontal="center"/>
    </xf>
    <xf numFmtId="41" fontId="9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5" fontId="11" fillId="0" borderId="0" xfId="60" applyNumberFormat="1" applyFont="1" applyAlignment="1">
      <alignment horizontal="center"/>
    </xf>
    <xf numFmtId="165" fontId="11" fillId="0" borderId="10" xfId="6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1" fontId="9" fillId="0" borderId="0" xfId="0" applyNumberFormat="1" applyFont="1" applyBorder="1" applyAlignment="1">
      <alignment/>
    </xf>
    <xf numFmtId="165" fontId="11" fillId="0" borderId="0" xfId="6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9" fontId="0" fillId="0" borderId="10" xfId="44" applyNumberFormat="1" applyFont="1" applyBorder="1" applyAlignment="1">
      <alignment/>
    </xf>
    <xf numFmtId="169" fontId="0" fillId="0" borderId="17" xfId="44" applyNumberFormat="1" applyBorder="1" applyAlignment="1">
      <alignment/>
    </xf>
    <xf numFmtId="165" fontId="11" fillId="0" borderId="17" xfId="60" applyNumberFormat="1" applyFont="1" applyBorder="1" applyAlignment="1">
      <alignment horizontal="center"/>
    </xf>
    <xf numFmtId="169" fontId="0" fillId="0" borderId="17" xfId="44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169" fontId="0" fillId="0" borderId="0" xfId="44" applyNumberFormat="1" applyFont="1" applyBorder="1" applyAlignment="1">
      <alignment/>
    </xf>
    <xf numFmtId="165" fontId="13" fillId="0" borderId="0" xfId="60" applyNumberFormat="1" applyFont="1" applyBorder="1" applyAlignment="1">
      <alignment horizontal="center"/>
    </xf>
    <xf numFmtId="165" fontId="13" fillId="0" borderId="10" xfId="60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169" fontId="7" fillId="0" borderId="17" xfId="44" applyNumberFormat="1" applyFont="1" applyBorder="1" applyAlignment="1">
      <alignment/>
    </xf>
    <xf numFmtId="165" fontId="12" fillId="0" borderId="17" xfId="6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5" fontId="0" fillId="0" borderId="0" xfId="42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4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6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169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9" fontId="4" fillId="0" borderId="2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9" fontId="3" fillId="0" borderId="22" xfId="44" applyNumberFormat="1" applyFont="1" applyBorder="1" applyAlignment="1">
      <alignment/>
    </xf>
    <xf numFmtId="0" fontId="3" fillId="0" borderId="14" xfId="0" applyFont="1" applyBorder="1" applyAlignment="1" quotePrefix="1">
      <alignment horizontal="right"/>
    </xf>
    <xf numFmtId="41" fontId="3" fillId="0" borderId="15" xfId="44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41" fontId="0" fillId="0" borderId="10" xfId="0" applyNumberFormat="1" applyFont="1" applyFill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44" applyNumberFormat="1" applyFont="1" applyBorder="1" applyAlignment="1">
      <alignment/>
    </xf>
    <xf numFmtId="41" fontId="11" fillId="0" borderId="0" xfId="60" applyNumberFormat="1" applyFont="1" applyBorder="1" applyAlignment="1">
      <alignment horizontal="center"/>
    </xf>
    <xf numFmtId="41" fontId="11" fillId="0" borderId="0" xfId="60" applyNumberFormat="1" applyFont="1" applyFill="1" applyBorder="1" applyAlignment="1">
      <alignment horizontal="center"/>
    </xf>
    <xf numFmtId="41" fontId="11" fillId="0" borderId="10" xfId="60" applyNumberFormat="1" applyFont="1" applyBorder="1" applyAlignment="1">
      <alignment horizontal="center"/>
    </xf>
    <xf numFmtId="41" fontId="11" fillId="0" borderId="10" xfId="60" applyNumberFormat="1" applyFont="1" applyFill="1" applyBorder="1" applyAlignment="1">
      <alignment horizontal="center"/>
    </xf>
    <xf numFmtId="41" fontId="0" fillId="0" borderId="10" xfId="44" applyNumberFormat="1" applyFont="1" applyBorder="1" applyAlignment="1">
      <alignment/>
    </xf>
    <xf numFmtId="42" fontId="10" fillId="0" borderId="18" xfId="0" applyNumberFormat="1" applyFont="1" applyBorder="1" applyAlignment="1">
      <alignment/>
    </xf>
    <xf numFmtId="42" fontId="7" fillId="0" borderId="18" xfId="44" applyNumberFormat="1" applyFont="1" applyFill="1" applyBorder="1" applyAlignment="1">
      <alignment/>
    </xf>
    <xf numFmtId="42" fontId="7" fillId="0" borderId="25" xfId="44" applyNumberFormat="1" applyFont="1" applyBorder="1" applyAlignment="1">
      <alignment/>
    </xf>
    <xf numFmtId="42" fontId="12" fillId="0" borderId="25" xfId="44" applyNumberFormat="1" applyFont="1" applyBorder="1" applyAlignment="1">
      <alignment horizontal="center"/>
    </xf>
    <xf numFmtId="42" fontId="0" fillId="0" borderId="26" xfId="44" applyNumberFormat="1" applyFont="1" applyBorder="1" applyAlignment="1">
      <alignment/>
    </xf>
    <xf numFmtId="42" fontId="11" fillId="0" borderId="26" xfId="44" applyNumberFormat="1" applyFont="1" applyBorder="1" applyAlignment="1">
      <alignment horizontal="center"/>
    </xf>
    <xf numFmtId="42" fontId="11" fillId="0" borderId="26" xfId="60" applyNumberFormat="1" applyFont="1" applyBorder="1" applyAlignment="1">
      <alignment horizontal="center"/>
    </xf>
    <xf numFmtId="42" fontId="7" fillId="0" borderId="18" xfId="44" applyNumberFormat="1" applyFont="1" applyBorder="1" applyAlignment="1">
      <alignment/>
    </xf>
    <xf numFmtId="42" fontId="12" fillId="0" borderId="18" xfId="44" applyNumberFormat="1" applyFont="1" applyBorder="1" applyAlignment="1">
      <alignment horizontal="center"/>
    </xf>
    <xf numFmtId="42" fontId="7" fillId="0" borderId="0" xfId="44" applyNumberFormat="1" applyFont="1" applyBorder="1" applyAlignment="1">
      <alignment/>
    </xf>
    <xf numFmtId="42" fontId="12" fillId="0" borderId="0" xfId="60" applyNumberFormat="1" applyFont="1" applyBorder="1" applyAlignment="1">
      <alignment horizontal="center"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2" fontId="7" fillId="0" borderId="17" xfId="44" applyNumberFormat="1" applyFont="1" applyBorder="1" applyAlignment="1">
      <alignment/>
    </xf>
    <xf numFmtId="5" fontId="0" fillId="0" borderId="0" xfId="0" applyNumberFormat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0" xfId="44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4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41" fontId="9" fillId="0" borderId="15" xfId="44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0" fillId="0" borderId="0" xfId="6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2" fontId="7" fillId="0" borderId="24" xfId="44" applyNumberFormat="1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 quotePrefix="1">
      <alignment horizontal="right"/>
    </xf>
    <xf numFmtId="169" fontId="0" fillId="0" borderId="15" xfId="44" applyNumberFormat="1" applyFont="1" applyBorder="1" applyAlignment="1">
      <alignment horizontal="right"/>
    </xf>
    <xf numFmtId="41" fontId="0" fillId="0" borderId="15" xfId="44" applyNumberFormat="1" applyFont="1" applyBorder="1" applyAlignment="1">
      <alignment/>
    </xf>
    <xf numFmtId="41" fontId="0" fillId="0" borderId="23" xfId="44" applyNumberFormat="1" applyFont="1" applyBorder="1" applyAlignment="1">
      <alignment/>
    </xf>
    <xf numFmtId="0" fontId="7" fillId="0" borderId="14" xfId="0" applyFont="1" applyBorder="1" applyAlignment="1">
      <alignment/>
    </xf>
    <xf numFmtId="169" fontId="7" fillId="0" borderId="24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169" fontId="21" fillId="33" borderId="0" xfId="44" applyNumberFormat="1" applyFont="1" applyFill="1" applyAlignment="1">
      <alignment horizontal="center"/>
    </xf>
    <xf numFmtId="41" fontId="21" fillId="33" borderId="1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horizontal="center"/>
    </xf>
    <xf numFmtId="169" fontId="0" fillId="0" borderId="0" xfId="44" applyNumberFormat="1" applyFont="1" applyAlignment="1">
      <alignment horizontal="center"/>
    </xf>
    <xf numFmtId="41" fontId="9" fillId="0" borderId="0" xfId="0" applyNumberFormat="1" applyFont="1" applyAlignment="1">
      <alignment horizontal="center"/>
    </xf>
    <xf numFmtId="41" fontId="9" fillId="0" borderId="0" xfId="0" applyNumberFormat="1" applyFont="1" applyBorder="1" applyAlignment="1">
      <alignment horizontal="center"/>
    </xf>
    <xf numFmtId="169" fontId="21" fillId="33" borderId="17" xfId="44" applyNumberFormat="1" applyFont="1" applyFill="1" applyBorder="1" applyAlignment="1">
      <alignment horizontal="center"/>
    </xf>
    <xf numFmtId="169" fontId="21" fillId="33" borderId="0" xfId="44" applyNumberFormat="1" applyFont="1" applyFill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169" fontId="21" fillId="33" borderId="10" xfId="44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9" fontId="21" fillId="0" borderId="0" xfId="44" applyNumberFormat="1" applyFont="1" applyBorder="1" applyAlignment="1">
      <alignment horizontal="center"/>
    </xf>
    <xf numFmtId="41" fontId="17" fillId="0" borderId="0" xfId="0" applyNumberFormat="1" applyFont="1" applyBorder="1" applyAlignment="1">
      <alignment/>
    </xf>
    <xf numFmtId="169" fontId="17" fillId="0" borderId="0" xfId="44" applyNumberFormat="1" applyFont="1" applyBorder="1" applyAlignment="1">
      <alignment/>
    </xf>
    <xf numFmtId="0" fontId="17" fillId="0" borderId="0" xfId="0" applyFont="1" applyBorder="1" applyAlignment="1">
      <alignment/>
    </xf>
    <xf numFmtId="169" fontId="21" fillId="33" borderId="25" xfId="44" applyNumberFormat="1" applyFont="1" applyFill="1" applyBorder="1" applyAlignment="1">
      <alignment horizontal="center"/>
    </xf>
    <xf numFmtId="169" fontId="21" fillId="33" borderId="18" xfId="44" applyNumberFormat="1" applyFont="1" applyFill="1" applyBorder="1" applyAlignment="1">
      <alignment horizontal="center"/>
    </xf>
    <xf numFmtId="169" fontId="21" fillId="33" borderId="26" xfId="44" applyNumberFormat="1" applyFont="1" applyFill="1" applyBorder="1" applyAlignment="1">
      <alignment horizontal="center"/>
    </xf>
    <xf numFmtId="41" fontId="10" fillId="33" borderId="18" xfId="0" applyNumberFormat="1" applyFont="1" applyFill="1" applyBorder="1" applyAlignment="1">
      <alignment horizontal="center"/>
    </xf>
    <xf numFmtId="42" fontId="10" fillId="33" borderId="0" xfId="44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10" fillId="0" borderId="0" xfId="44" applyNumberFormat="1" applyFont="1" applyFill="1" applyBorder="1" applyAlignment="1">
      <alignment horizontal="center"/>
    </xf>
    <xf numFmtId="42" fontId="10" fillId="33" borderId="25" xfId="44" applyNumberFormat="1" applyFont="1" applyFill="1" applyBorder="1" applyAlignment="1">
      <alignment horizontal="center"/>
    </xf>
    <xf numFmtId="42" fontId="10" fillId="0" borderId="0" xfId="0" applyNumberFormat="1" applyFont="1" applyFill="1" applyAlignment="1">
      <alignment horizontal="center"/>
    </xf>
    <xf numFmtId="42" fontId="10" fillId="33" borderId="18" xfId="44" applyNumberFormat="1" applyFont="1" applyFill="1" applyBorder="1" applyAlignment="1">
      <alignment horizontal="center"/>
    </xf>
    <xf numFmtId="42" fontId="10" fillId="33" borderId="17" xfId="44" applyNumberFormat="1" applyFont="1" applyFill="1" applyBorder="1" applyAlignment="1">
      <alignment horizontal="center"/>
    </xf>
    <xf numFmtId="169" fontId="5" fillId="34" borderId="15" xfId="44" applyNumberFormat="1" applyFont="1" applyFill="1" applyBorder="1" applyAlignment="1" applyProtection="1">
      <alignment/>
      <protection locked="0"/>
    </xf>
    <xf numFmtId="41" fontId="5" fillId="34" borderId="15" xfId="44" applyNumberFormat="1" applyFont="1" applyFill="1" applyBorder="1" applyAlignment="1" applyProtection="1">
      <alignment/>
      <protection locked="0"/>
    </xf>
    <xf numFmtId="41" fontId="5" fillId="34" borderId="23" xfId="44" applyNumberFormat="1" applyFont="1" applyFill="1" applyBorder="1" applyAlignment="1" applyProtection="1">
      <alignment/>
      <protection locked="0"/>
    </xf>
    <xf numFmtId="201" fontId="9" fillId="34" borderId="0" xfId="0" applyNumberFormat="1" applyFont="1" applyFill="1" applyBorder="1" applyAlignment="1" applyProtection="1">
      <alignment horizontal="left"/>
      <protection locked="0"/>
    </xf>
    <xf numFmtId="42" fontId="9" fillId="34" borderId="15" xfId="44" applyNumberFormat="1" applyFont="1" applyFill="1" applyBorder="1" applyAlignment="1" applyProtection="1">
      <alignment/>
      <protection locked="0"/>
    </xf>
    <xf numFmtId="41" fontId="9" fillId="34" borderId="15" xfId="44" applyNumberFormat="1" applyFont="1" applyFill="1" applyBorder="1" applyAlignment="1" applyProtection="1">
      <alignment/>
      <protection locked="0"/>
    </xf>
    <xf numFmtId="41" fontId="9" fillId="34" borderId="23" xfId="44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165" fontId="9" fillId="34" borderId="0" xfId="60" applyNumberFormat="1" applyFont="1" applyFill="1" applyBorder="1" applyAlignment="1" applyProtection="1">
      <alignment horizontal="right"/>
      <protection locked="0"/>
    </xf>
    <xf numFmtId="201" fontId="9" fillId="34" borderId="0" xfId="0" applyNumberFormat="1" applyFont="1" applyFill="1" applyBorder="1" applyAlignment="1" applyProtection="1">
      <alignment horizontal="right"/>
      <protection locked="0"/>
    </xf>
    <xf numFmtId="169" fontId="9" fillId="34" borderId="0" xfId="44" applyNumberFormat="1" applyFont="1" applyFill="1" applyAlignment="1" applyProtection="1">
      <alignment/>
      <protection locked="0"/>
    </xf>
    <xf numFmtId="165" fontId="11" fillId="34" borderId="0" xfId="60" applyNumberFormat="1" applyFont="1" applyFill="1" applyAlignment="1" applyProtection="1">
      <alignment horizontal="center"/>
      <protection locked="0"/>
    </xf>
    <xf numFmtId="41" fontId="9" fillId="34" borderId="0" xfId="0" applyNumberFormat="1" applyFont="1" applyFill="1" applyAlignment="1" applyProtection="1">
      <alignment/>
      <protection locked="0"/>
    </xf>
    <xf numFmtId="41" fontId="9" fillId="34" borderId="10" xfId="0" applyNumberFormat="1" applyFont="1" applyFill="1" applyBorder="1" applyAlignment="1" applyProtection="1">
      <alignment/>
      <protection locked="0"/>
    </xf>
    <xf numFmtId="165" fontId="11" fillId="34" borderId="10" xfId="60" applyNumberFormat="1" applyFont="1" applyFill="1" applyBorder="1" applyAlignment="1" applyProtection="1">
      <alignment horizontal="center"/>
      <protection locked="0"/>
    </xf>
    <xf numFmtId="169" fontId="9" fillId="34" borderId="0" xfId="44" applyNumberFormat="1" applyFont="1" applyFill="1" applyBorder="1" applyAlignment="1" applyProtection="1">
      <alignment/>
      <protection locked="0"/>
    </xf>
    <xf numFmtId="165" fontId="13" fillId="34" borderId="0" xfId="60" applyNumberFormat="1" applyFont="1" applyFill="1" applyBorder="1" applyAlignment="1" applyProtection="1">
      <alignment horizontal="center"/>
      <protection locked="0"/>
    </xf>
    <xf numFmtId="41" fontId="9" fillId="34" borderId="0" xfId="0" applyNumberFormat="1" applyFont="1" applyFill="1" applyBorder="1" applyAlignment="1" applyProtection="1">
      <alignment/>
      <protection locked="0"/>
    </xf>
    <xf numFmtId="165" fontId="13" fillId="34" borderId="10" xfId="60" applyNumberFormat="1" applyFont="1" applyFill="1" applyBorder="1" applyAlignment="1" applyProtection="1">
      <alignment horizontal="center"/>
      <protection locked="0"/>
    </xf>
    <xf numFmtId="169" fontId="9" fillId="34" borderId="10" xfId="44" applyNumberFormat="1" applyFont="1" applyFill="1" applyBorder="1" applyAlignment="1" applyProtection="1">
      <alignment/>
      <protection locked="0"/>
    </xf>
    <xf numFmtId="42" fontId="10" fillId="34" borderId="18" xfId="44" applyNumberFormat="1" applyFont="1" applyFill="1" applyBorder="1" applyAlignment="1" applyProtection="1">
      <alignment/>
      <protection locked="0"/>
    </xf>
    <xf numFmtId="41" fontId="9" fillId="34" borderId="0" xfId="44" applyNumberFormat="1" applyFont="1" applyFill="1" applyBorder="1" applyAlignment="1" applyProtection="1">
      <alignment/>
      <protection locked="0"/>
    </xf>
    <xf numFmtId="41" fontId="9" fillId="34" borderId="10" xfId="44" applyNumberFormat="1" applyFont="1" applyFill="1" applyBorder="1" applyAlignment="1" applyProtection="1">
      <alignment/>
      <protection locked="0"/>
    </xf>
    <xf numFmtId="41" fontId="9" fillId="34" borderId="18" xfId="0" applyNumberFormat="1" applyFont="1" applyFill="1" applyBorder="1" applyAlignment="1" applyProtection="1">
      <alignment/>
      <protection locked="0"/>
    </xf>
    <xf numFmtId="6" fontId="5" fillId="34" borderId="15" xfId="44" applyNumberFormat="1" applyFont="1" applyFill="1" applyBorder="1" applyAlignment="1" applyProtection="1">
      <alignment/>
      <protection locked="0"/>
    </xf>
    <xf numFmtId="14" fontId="10" fillId="34" borderId="10" xfId="0" applyNumberFormat="1" applyFont="1" applyFill="1" applyBorder="1" applyAlignment="1" applyProtection="1">
      <alignment horizontal="center"/>
      <protection locked="0"/>
    </xf>
    <xf numFmtId="14" fontId="7" fillId="0" borderId="10" xfId="0" applyNumberFormat="1" applyFont="1" applyBorder="1" applyAlignment="1">
      <alignment horizontal="center"/>
    </xf>
    <xf numFmtId="43" fontId="9" fillId="34" borderId="0" xfId="0" applyNumberFormat="1" applyFont="1" applyFill="1" applyAlignment="1" applyProtection="1">
      <alignment/>
      <protection locked="0"/>
    </xf>
    <xf numFmtId="43" fontId="9" fillId="34" borderId="10" xfId="0" applyNumberFormat="1" applyFont="1" applyFill="1" applyBorder="1" applyAlignment="1" applyProtection="1">
      <alignment/>
      <protection locked="0"/>
    </xf>
    <xf numFmtId="44" fontId="9" fillId="34" borderId="0" xfId="44" applyNumberFormat="1" applyFont="1" applyFill="1" applyAlignment="1" applyProtection="1">
      <alignment/>
      <protection locked="0"/>
    </xf>
    <xf numFmtId="178" fontId="9" fillId="34" borderId="0" xfId="0" applyNumberFormat="1" applyFont="1" applyFill="1" applyAlignment="1" applyProtection="1">
      <alignment/>
      <protection locked="0"/>
    </xf>
    <xf numFmtId="178" fontId="9" fillId="34" borderId="0" xfId="42" applyNumberFormat="1" applyFont="1" applyFill="1" applyAlignment="1" applyProtection="1">
      <alignment/>
      <protection locked="0"/>
    </xf>
    <xf numFmtId="178" fontId="9" fillId="34" borderId="10" xfId="42" applyNumberFormat="1" applyFont="1" applyFill="1" applyBorder="1" applyAlignment="1" applyProtection="1">
      <alignment/>
      <protection locked="0"/>
    </xf>
    <xf numFmtId="43" fontId="9" fillId="35" borderId="0" xfId="0" applyNumberFormat="1" applyFont="1" applyFill="1" applyAlignment="1" applyProtection="1">
      <alignment/>
      <protection locked="0"/>
    </xf>
    <xf numFmtId="0" fontId="18" fillId="0" borderId="0" xfId="53" applyFont="1" applyAlignment="1" applyProtection="1">
      <alignment horizontal="left" wrapText="1"/>
      <protection/>
    </xf>
    <xf numFmtId="0" fontId="3" fillId="0" borderId="0" xfId="53" applyFont="1" applyAlignment="1" applyProtection="1">
      <alignment horizontal="left" wrapText="1"/>
      <protection/>
    </xf>
    <xf numFmtId="0" fontId="6" fillId="34" borderId="0" xfId="57" applyFont="1" applyFill="1" applyBorder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"/>
      <protection/>
    </xf>
    <xf numFmtId="0" fontId="20" fillId="0" borderId="0" xfId="57" applyFont="1" applyBorder="1" applyAlignment="1" applyProtection="1">
      <alignment horizontal="center" vertical="center"/>
      <protection/>
    </xf>
    <xf numFmtId="0" fontId="15" fillId="0" borderId="0" xfId="57" applyFont="1" applyBorder="1" applyAlignment="1" applyProtection="1">
      <alignment horizontal="center"/>
      <protection/>
    </xf>
    <xf numFmtId="0" fontId="16" fillId="0" borderId="0" xfId="57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208" fontId="4" fillId="0" borderId="0" xfId="57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04H3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25</xdr:row>
      <xdr:rowOff>76200</xdr:rowOff>
    </xdr:from>
    <xdr:to>
      <xdr:col>6</xdr:col>
      <xdr:colOff>0</xdr:colOff>
      <xdr:row>49</xdr:row>
      <xdr:rowOff>114300</xdr:rowOff>
    </xdr:to>
    <xdr:sp>
      <xdr:nvSpPr>
        <xdr:cNvPr id="1" name="Freeform 4"/>
        <xdr:cNvSpPr>
          <a:spLocks/>
        </xdr:cNvSpPr>
      </xdr:nvSpPr>
      <xdr:spPr>
        <a:xfrm>
          <a:off x="4886325" y="4676775"/>
          <a:ext cx="238125" cy="4667250"/>
        </a:xfrm>
        <a:custGeom>
          <a:pathLst>
            <a:path h="489" w="91">
              <a:moveTo>
                <a:pt x="0" y="489"/>
              </a:moveTo>
              <a:lnTo>
                <a:pt x="91" y="489"/>
              </a:lnTo>
              <a:lnTo>
                <a:pt x="91" y="0"/>
              </a:lnTo>
              <a:lnTo>
                <a:pt x="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85" zoomScaleNormal="85" zoomScalePageLayoutView="0" workbookViewId="0" topLeftCell="A1">
      <selection activeCell="A2" sqref="A2:C2"/>
    </sheetView>
  </sheetViews>
  <sheetFormatPr defaultColWidth="9.140625" defaultRowHeight="12.75"/>
  <cols>
    <col min="1" max="1" width="17.28125" style="0" customWidth="1"/>
    <col min="2" max="2" width="31.00390625" style="0" customWidth="1"/>
    <col min="3" max="3" width="36.421875" style="0" customWidth="1"/>
  </cols>
  <sheetData>
    <row r="1" spans="1:3" ht="15.75">
      <c r="A1" s="191" t="s">
        <v>224</v>
      </c>
      <c r="B1" s="191"/>
      <c r="C1" s="191"/>
    </row>
    <row r="2" spans="1:3" ht="15.75">
      <c r="A2" s="191" t="s">
        <v>225</v>
      </c>
      <c r="B2" s="191"/>
      <c r="C2" s="191"/>
    </row>
    <row r="3" spans="1:3" ht="7.5" customHeight="1">
      <c r="A3" s="192"/>
      <c r="B3" s="192"/>
      <c r="C3" s="192"/>
    </row>
    <row r="4" spans="1:3" ht="23.25" customHeight="1">
      <c r="A4" s="193" t="s">
        <v>222</v>
      </c>
      <c r="B4" s="193"/>
      <c r="C4" s="193"/>
    </row>
    <row r="5" ht="7.5" customHeight="1"/>
    <row r="6" spans="1:3" ht="15" customHeight="1">
      <c r="A6" s="189" t="s">
        <v>223</v>
      </c>
      <c r="B6" s="190"/>
      <c r="C6" s="190"/>
    </row>
    <row r="7" spans="1:3" ht="12.75">
      <c r="A7" s="190"/>
      <c r="B7" s="190"/>
      <c r="C7" s="190"/>
    </row>
    <row r="8" spans="1:3" ht="60.75" customHeight="1">
      <c r="A8" s="190"/>
      <c r="B8" s="190"/>
      <c r="C8" s="190"/>
    </row>
    <row r="9" spans="1:3" ht="57" customHeight="1">
      <c r="A9" s="189" t="s">
        <v>221</v>
      </c>
      <c r="B9" s="190"/>
      <c r="C9" s="190"/>
    </row>
    <row r="11" spans="1:3" ht="16.5" customHeight="1">
      <c r="A11" s="102" t="s">
        <v>189</v>
      </c>
      <c r="B11" s="103" t="s">
        <v>213</v>
      </c>
      <c r="C11" s="100"/>
    </row>
    <row r="12" spans="1:3" ht="7.5" customHeight="1">
      <c r="A12" s="100"/>
      <c r="B12" s="100"/>
      <c r="C12" s="100"/>
    </row>
    <row r="13" spans="1:3" ht="16.5" customHeight="1">
      <c r="A13" s="101">
        <v>1</v>
      </c>
      <c r="B13" s="100" t="s">
        <v>202</v>
      </c>
      <c r="C13" s="100"/>
    </row>
    <row r="14" spans="1:3" ht="16.5" customHeight="1">
      <c r="A14" s="124">
        <v>2</v>
      </c>
      <c r="B14" s="125" t="s">
        <v>203</v>
      </c>
      <c r="C14" s="125"/>
    </row>
    <row r="15" spans="1:3" ht="16.5" customHeight="1">
      <c r="A15" s="101" t="s">
        <v>190</v>
      </c>
      <c r="B15" s="100" t="s">
        <v>204</v>
      </c>
      <c r="C15" s="100"/>
    </row>
    <row r="16" spans="1:3" ht="16.5" customHeight="1">
      <c r="A16" s="101" t="s">
        <v>191</v>
      </c>
      <c r="B16" s="100" t="s">
        <v>205</v>
      </c>
      <c r="C16" s="100"/>
    </row>
    <row r="17" spans="1:3" ht="16.5" customHeight="1">
      <c r="A17" s="124" t="s">
        <v>192</v>
      </c>
      <c r="B17" s="125" t="s">
        <v>217</v>
      </c>
      <c r="C17" s="125"/>
    </row>
    <row r="18" spans="1:3" ht="16.5" customHeight="1">
      <c r="A18" s="101" t="s">
        <v>193</v>
      </c>
      <c r="B18" s="100" t="s">
        <v>206</v>
      </c>
      <c r="C18" s="100"/>
    </row>
    <row r="19" spans="1:3" ht="16.5" customHeight="1">
      <c r="A19" s="101" t="s">
        <v>194</v>
      </c>
      <c r="B19" s="100" t="s">
        <v>207</v>
      </c>
      <c r="C19" s="100"/>
    </row>
    <row r="20" spans="1:3" ht="16.5" customHeight="1">
      <c r="A20" s="124" t="s">
        <v>195</v>
      </c>
      <c r="B20" s="125" t="s">
        <v>218</v>
      </c>
      <c r="C20" s="125"/>
    </row>
    <row r="21" spans="1:3" ht="16.5" customHeight="1">
      <c r="A21" s="101" t="s">
        <v>196</v>
      </c>
      <c r="B21" s="100" t="s">
        <v>208</v>
      </c>
      <c r="C21" s="100"/>
    </row>
    <row r="22" spans="1:3" ht="16.5" customHeight="1">
      <c r="A22" s="101" t="s">
        <v>197</v>
      </c>
      <c r="B22" s="100" t="s">
        <v>209</v>
      </c>
      <c r="C22" s="100"/>
    </row>
    <row r="23" spans="1:3" ht="16.5" customHeight="1">
      <c r="A23" s="124" t="s">
        <v>198</v>
      </c>
      <c r="B23" s="125" t="s">
        <v>219</v>
      </c>
      <c r="C23" s="125"/>
    </row>
    <row r="24" spans="1:3" ht="16.5" customHeight="1">
      <c r="A24" s="101" t="s">
        <v>199</v>
      </c>
      <c r="B24" s="100" t="s">
        <v>210</v>
      </c>
      <c r="C24" s="100"/>
    </row>
    <row r="25" spans="1:3" ht="16.5" customHeight="1">
      <c r="A25" s="101" t="s">
        <v>200</v>
      </c>
      <c r="B25" s="100" t="s">
        <v>211</v>
      </c>
      <c r="C25" s="100"/>
    </row>
    <row r="26" spans="1:3" ht="16.5" customHeight="1">
      <c r="A26" s="124" t="s">
        <v>201</v>
      </c>
      <c r="B26" s="125" t="s">
        <v>220</v>
      </c>
      <c r="C26" s="125"/>
    </row>
    <row r="27" spans="1:3" ht="16.5" customHeight="1">
      <c r="A27" s="101">
        <v>7</v>
      </c>
      <c r="B27" s="100" t="s">
        <v>212</v>
      </c>
      <c r="C27" s="100"/>
    </row>
    <row r="28" spans="1:3" ht="16.5" customHeight="1">
      <c r="A28" s="124">
        <v>8</v>
      </c>
      <c r="B28" s="125" t="s">
        <v>215</v>
      </c>
      <c r="C28" s="125"/>
    </row>
    <row r="29" spans="1:3" ht="16.5" customHeight="1">
      <c r="A29" s="101">
        <v>9</v>
      </c>
      <c r="B29" s="100" t="s">
        <v>214</v>
      </c>
      <c r="C29" s="100"/>
    </row>
  </sheetData>
  <sheetProtection/>
  <mergeCells count="6">
    <mergeCell ref="A9:C9"/>
    <mergeCell ref="A6:C8"/>
    <mergeCell ref="A1:C1"/>
    <mergeCell ref="A2:C2"/>
    <mergeCell ref="A3:C3"/>
    <mergeCell ref="A4:C4"/>
  </mergeCells>
  <printOptions horizontalCentered="1"/>
  <pageMargins left="0.25" right="0.5" top="1" bottom="0.75" header="0.75" footer="0.5"/>
  <pageSetup horizontalDpi="600" verticalDpi="600" orientation="portrait" r:id="rId1"/>
  <headerFooter alignWithMargins="0">
    <oddFooter>&amp;L&amp;D
Health Care Administration&amp;R&amp;F,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85" zoomScaleNormal="85" zoomScalePageLayoutView="0" workbookViewId="0" topLeftCell="A1">
      <selection activeCell="C9" sqref="C9:K9"/>
    </sheetView>
  </sheetViews>
  <sheetFormatPr defaultColWidth="9.140625" defaultRowHeight="12.75"/>
  <cols>
    <col min="1" max="1" width="37.7109375" style="0" customWidth="1"/>
    <col min="2" max="2" width="3.8515625" style="0" customWidth="1"/>
    <col min="3" max="3" width="14.8515625" style="0" customWidth="1"/>
    <col min="4" max="4" width="1.8515625" style="0" customWidth="1"/>
    <col min="5" max="5" width="14.8515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4.8515625" style="0" customWidth="1"/>
  </cols>
  <sheetData>
    <row r="1" spans="1:11" ht="15.75">
      <c r="A1" s="192" t="str">
        <f>'Table 1'!A1:C1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1'!A2:C2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147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3:11" ht="15.75" customHeight="1"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5.75" customHeight="1">
      <c r="C9" s="180"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3:11" ht="15.75" customHeight="1">
      <c r="C10" s="22"/>
      <c r="D10" s="23"/>
      <c r="E10" s="17"/>
      <c r="F10" s="23"/>
      <c r="G10" s="17"/>
      <c r="H10" s="23"/>
      <c r="I10" s="17"/>
      <c r="J10" s="23"/>
      <c r="K10" s="17"/>
    </row>
    <row r="11" spans="1:11" ht="15.75" customHeight="1" thickBot="1">
      <c r="A11" s="1" t="s">
        <v>148</v>
      </c>
      <c r="B11" s="25"/>
      <c r="C11" s="175">
        <v>12567476</v>
      </c>
      <c r="D11" s="77"/>
      <c r="E11" s="78">
        <f>+C50</f>
        <v>12567476.37714287</v>
      </c>
      <c r="F11" s="77"/>
      <c r="G11" s="78">
        <f>+E50</f>
        <v>12567476.647142868</v>
      </c>
      <c r="H11" s="77"/>
      <c r="I11" s="78">
        <f>+G50</f>
        <v>12756592.06714287</v>
      </c>
      <c r="J11" s="77"/>
      <c r="K11" s="78">
        <f>+I50</f>
        <v>12956592.06714287</v>
      </c>
    </row>
    <row r="12" spans="1:11" ht="15.75" customHeight="1">
      <c r="A12" s="66" t="s">
        <v>149</v>
      </c>
      <c r="B12" s="25"/>
      <c r="C12" s="71"/>
      <c r="D12" s="72"/>
      <c r="E12" s="71"/>
      <c r="F12" s="72"/>
      <c r="G12" s="71"/>
      <c r="H12" s="72"/>
      <c r="I12" s="71"/>
      <c r="J12" s="72"/>
      <c r="K12" s="71"/>
    </row>
    <row r="13" spans="1:11" ht="15.75" customHeight="1">
      <c r="A13" s="65" t="s">
        <v>150</v>
      </c>
      <c r="C13" s="30">
        <f>'Table 3A'!C44</f>
        <v>2659656.7200000137</v>
      </c>
      <c r="D13" s="72"/>
      <c r="E13" s="30">
        <f>'Table 3A'!E44</f>
        <v>264962.41714285314</v>
      </c>
      <c r="F13" s="72"/>
      <c r="G13" s="30">
        <f>'Table 3A'!G44</f>
        <v>163207.2507428527</v>
      </c>
      <c r="H13" s="72"/>
      <c r="I13" s="30">
        <f>'Table 3A'!I44</f>
        <v>168103.46826513857</v>
      </c>
      <c r="J13" s="72"/>
      <c r="K13" s="30">
        <f>'Table 3A'!K44</f>
        <v>173146.57231309265</v>
      </c>
    </row>
    <row r="14" spans="1:11" ht="15.75" customHeight="1">
      <c r="A14" s="65" t="s">
        <v>151</v>
      </c>
      <c r="C14" s="30">
        <f>'Table 3A'!C34</f>
        <v>880385.6571428571</v>
      </c>
      <c r="D14" s="72"/>
      <c r="E14" s="30">
        <f>'Table 3A'!E34</f>
        <v>801472.2000000001</v>
      </c>
      <c r="F14" s="72"/>
      <c r="G14" s="30">
        <f>'Table 3A'!G34</f>
        <v>825516.366</v>
      </c>
      <c r="H14" s="72"/>
      <c r="I14" s="30">
        <f>'Table 3A'!I34</f>
        <v>850281.85698</v>
      </c>
      <c r="J14" s="72"/>
      <c r="K14" s="30">
        <f>'Table 3A'!K34</f>
        <v>875790.3126894</v>
      </c>
    </row>
    <row r="15" spans="1:14" ht="15.75" customHeight="1">
      <c r="A15" s="65" t="s">
        <v>152</v>
      </c>
      <c r="C15" s="172">
        <v>198000</v>
      </c>
      <c r="D15" s="72"/>
      <c r="E15" s="64">
        <f>('Table 4A'!C12-'Table 4A'!E12)+('Table 4A'!C13-'Table 4A'!E13)</f>
        <v>200000</v>
      </c>
      <c r="F15" s="73"/>
      <c r="G15" s="64">
        <f>('Table 4A'!E12-'Table 4A'!G12)+('Table 4A'!E13-'Table 4A'!G13)</f>
        <v>0</v>
      </c>
      <c r="H15" s="73"/>
      <c r="I15" s="64">
        <f>('Table 4A'!G12-'Table 4A'!I12)+('Table 4A'!G13-'Table 4A'!I13)</f>
        <v>0</v>
      </c>
      <c r="J15" s="73"/>
      <c r="K15" s="64">
        <f>('Table 4A'!I12-'Table 4A'!K12)+('Table 4A'!I13-'Table 4A'!K13)</f>
        <v>0</v>
      </c>
      <c r="N15" s="24"/>
    </row>
    <row r="16" spans="1:11" ht="15.75" customHeight="1">
      <c r="A16" s="65" t="s">
        <v>153</v>
      </c>
      <c r="C16" s="168">
        <v>-105208</v>
      </c>
      <c r="D16" s="74"/>
      <c r="E16" s="68">
        <f>('Table 4A'!C14-'Table 4A'!E14)+('Table 4A'!C15-'Table 4A'!E15)-('Table 4A'!C56-'Table 4A'!E56)</f>
        <v>-95000</v>
      </c>
      <c r="F16" s="75"/>
      <c r="G16" s="68">
        <f>('Table 4A'!E14-'Table 4A'!G14)+('Table 4A'!E15-'Table 4A'!G15)-('Table 4A'!E56-'Table 4A'!G56)</f>
        <v>275000</v>
      </c>
      <c r="H16" s="75"/>
      <c r="I16" s="68">
        <f>('Table 4A'!G14-'Table 4A'!I14)+('Table 4A'!G15-'Table 4A'!I15)-('Table 4A'!G56-'Table 4A'!I56)</f>
        <v>20000</v>
      </c>
      <c r="J16" s="75"/>
      <c r="K16" s="68">
        <f>('Table 4A'!I14-'Table 4A'!K14)+('Table 4A'!I15-'Table 4A'!K15)-('Table 4A'!I56-'Table 4A'!K56)</f>
        <v>90000</v>
      </c>
    </row>
    <row r="17" spans="1:11" ht="15.75" customHeight="1" thickBot="1">
      <c r="A17" s="66" t="s">
        <v>154</v>
      </c>
      <c r="B17" s="25"/>
      <c r="C17" s="79">
        <f>SUM(C13:C16)</f>
        <v>3632834.377142871</v>
      </c>
      <c r="D17" s="80"/>
      <c r="E17" s="79">
        <f>SUM(E13:E16)</f>
        <v>1171434.6171428533</v>
      </c>
      <c r="F17" s="80"/>
      <c r="G17" s="79">
        <f>SUM(G13:G16)</f>
        <v>1263723.6167428526</v>
      </c>
      <c r="H17" s="80"/>
      <c r="I17" s="79">
        <f>SUM(I13:I16)</f>
        <v>1038385.3252451386</v>
      </c>
      <c r="J17" s="80"/>
      <c r="K17" s="79">
        <f>SUM(K13:K16)</f>
        <v>1138936.8850024927</v>
      </c>
    </row>
    <row r="18" spans="1:11" ht="15.75" customHeight="1">
      <c r="A18" s="1"/>
      <c r="B18" s="25"/>
      <c r="C18" s="71"/>
      <c r="D18" s="72"/>
      <c r="E18" s="71"/>
      <c r="F18" s="72"/>
      <c r="G18" s="71"/>
      <c r="H18" s="72"/>
      <c r="I18" s="71"/>
      <c r="J18" s="72"/>
      <c r="K18" s="71"/>
    </row>
    <row r="19" spans="1:11" ht="15.75" customHeight="1">
      <c r="A19" s="66" t="s">
        <v>155</v>
      </c>
      <c r="B19" s="25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5.75" customHeight="1">
      <c r="A20" s="65" t="s">
        <v>156</v>
      </c>
      <c r="B20" s="25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5.75" customHeight="1">
      <c r="A21" s="67" t="s">
        <v>157</v>
      </c>
      <c r="C21" s="30"/>
      <c r="D21" s="72"/>
      <c r="E21" s="30"/>
      <c r="F21" s="72"/>
      <c r="G21" s="30"/>
      <c r="H21" s="72"/>
      <c r="I21" s="30"/>
      <c r="J21" s="72"/>
      <c r="K21" s="30"/>
    </row>
    <row r="22" spans="1:11" ht="15.75" customHeight="1">
      <c r="A22" s="67" t="s">
        <v>158</v>
      </c>
      <c r="C22" s="30"/>
      <c r="D22" s="72"/>
      <c r="E22" s="30"/>
      <c r="F22" s="72"/>
      <c r="G22" s="30"/>
      <c r="H22" s="72"/>
      <c r="I22" s="30"/>
      <c r="J22" s="72"/>
      <c r="K22" s="30"/>
    </row>
    <row r="23" spans="1:11" ht="15.75" customHeight="1">
      <c r="A23" s="67" t="s">
        <v>159</v>
      </c>
      <c r="C23" s="176">
        <v>-908558</v>
      </c>
      <c r="D23" s="72"/>
      <c r="E23" s="71">
        <f>('Table 4A'!C37-'Table 4A'!E37)-'Table 5A'!E14</f>
        <v>-406471.92000000074</v>
      </c>
      <c r="F23" s="72"/>
      <c r="G23" s="71">
        <f>('Table 4A'!E37-'Table 4A'!G37)-'Table 5A'!G14</f>
        <v>-685516.366</v>
      </c>
      <c r="H23" s="72"/>
      <c r="I23" s="71">
        <f>('Table 4A'!G37-'Table 4A'!I37)-'Table 5A'!I14</f>
        <v>-710281.85698</v>
      </c>
      <c r="J23" s="72"/>
      <c r="K23" s="71">
        <f>('Table 4A'!I37-'Table 4A'!K37)-'Table 5A'!K14</f>
        <v>-725790.3126894</v>
      </c>
    </row>
    <row r="24" spans="1:11" ht="15.75" customHeight="1">
      <c r="A24" s="67" t="s">
        <v>160</v>
      </c>
      <c r="C24" s="177">
        <v>-2215707</v>
      </c>
      <c r="D24" s="74"/>
      <c r="E24" s="76">
        <f>'Table 4A'!C31-'Table 4A'!E31</f>
        <v>-1000000.2800000012</v>
      </c>
      <c r="F24" s="74"/>
      <c r="G24" s="76">
        <f>'Table 4A'!E31-'Table 4A'!G31</f>
        <v>-250000</v>
      </c>
      <c r="H24" s="74"/>
      <c r="I24" s="76">
        <f>'Table 4A'!G31-'Table 4A'!I31</f>
        <v>-100000</v>
      </c>
      <c r="J24" s="74"/>
      <c r="K24" s="76">
        <f>'Table 4A'!I31-'Table 4A'!K31</f>
        <v>-100000</v>
      </c>
    </row>
    <row r="25" spans="1:11" ht="15.75" customHeight="1">
      <c r="A25" s="67" t="s">
        <v>161</v>
      </c>
      <c r="C25" s="81">
        <f>SUM(C21:C24)</f>
        <v>-3124265</v>
      </c>
      <c r="D25" s="82"/>
      <c r="E25" s="81">
        <f>SUM(E21:E24)</f>
        <v>-1406472.200000002</v>
      </c>
      <c r="F25" s="82"/>
      <c r="G25" s="81">
        <f>SUM(G21:G24)</f>
        <v>-935516.366</v>
      </c>
      <c r="H25" s="82"/>
      <c r="I25" s="81">
        <f>SUM(I21:I24)</f>
        <v>-810281.85698</v>
      </c>
      <c r="J25" s="82"/>
      <c r="K25" s="81">
        <f>SUM(K21:K24)</f>
        <v>-825790.3126894</v>
      </c>
    </row>
    <row r="26" spans="1:11" ht="15.75" customHeight="1">
      <c r="A26" s="66"/>
      <c r="B26" s="25"/>
      <c r="C26" s="30"/>
      <c r="D26" s="72"/>
      <c r="E26" s="30"/>
      <c r="F26" s="72"/>
      <c r="G26" s="30"/>
      <c r="H26" s="72"/>
      <c r="I26" s="30"/>
      <c r="J26" s="72"/>
      <c r="K26" s="30"/>
    </row>
    <row r="27" spans="1:11" ht="15.75" customHeight="1">
      <c r="A27" s="65" t="s">
        <v>162</v>
      </c>
      <c r="B27" s="25"/>
      <c r="C27" s="71"/>
      <c r="D27" s="72"/>
      <c r="E27" s="71"/>
      <c r="F27" s="72"/>
      <c r="G27" s="71"/>
      <c r="H27" s="72"/>
      <c r="I27" s="71"/>
      <c r="J27" s="72"/>
      <c r="K27" s="71"/>
    </row>
    <row r="28" spans="1:11" ht="15.75" customHeight="1">
      <c r="A28" s="67" t="s">
        <v>41</v>
      </c>
      <c r="C28" s="167"/>
      <c r="D28" s="72"/>
      <c r="E28" s="71">
        <f>'Table 4A'!C20-'Table 4A'!E20</f>
        <v>0</v>
      </c>
      <c r="F28" s="72"/>
      <c r="G28" s="71">
        <f>'Table 4A'!E20-'Table 4A'!G20</f>
        <v>0</v>
      </c>
      <c r="H28" s="72"/>
      <c r="I28" s="71">
        <f>'Table 4A'!G20-'Table 4A'!I20</f>
        <v>0</v>
      </c>
      <c r="J28" s="72"/>
      <c r="K28" s="71">
        <f>'Table 4A'!I20-'Table 4A'!K20</f>
        <v>0</v>
      </c>
    </row>
    <row r="29" spans="1:12" ht="15.75" customHeight="1">
      <c r="A29" s="67" t="s">
        <v>163</v>
      </c>
      <c r="C29" s="167">
        <v>-108873</v>
      </c>
      <c r="D29" s="12"/>
      <c r="E29" s="12">
        <f>('Table 4A'!C21-'Table 4A'!E21)+('Table 4A'!C22-'Table 4A'!E22)+('Table 4A'!C41-'Table 4A'!E41)-('Table 4A'!C64-'Table 4A'!E64)</f>
        <v>0.27000000001862645</v>
      </c>
      <c r="F29" s="12"/>
      <c r="G29" s="12">
        <f>('Table 4A'!E21-'Table 4A'!G21)+('Table 4A'!E22-'Table 4A'!G22)+('Table 4A'!E41-'Table 4A'!G41)-('Table 4A'!E64-'Table 4A'!G64)</f>
        <v>0</v>
      </c>
      <c r="H29" s="12"/>
      <c r="I29" s="12">
        <f>('Table 4A'!G21-'Table 4A'!I21)+('Table 4A'!G22-'Table 4A'!I22)+('Table 4A'!G41-'Table 4A'!I41)-('Table 4A'!G64-'Table 4A'!I64)</f>
        <v>0</v>
      </c>
      <c r="J29" s="12"/>
      <c r="K29" s="12">
        <f>('Table 4A'!I21-'Table 4A'!K21)+('Table 4A'!I22-'Table 4A'!K22)+('Table 4A'!I41-'Table 4A'!K41)-('Table 4A'!I64-'Table 4A'!K64)</f>
        <v>0</v>
      </c>
      <c r="L29" s="25"/>
    </row>
    <row r="30" spans="1:11" ht="15.75" customHeight="1">
      <c r="A30" s="67" t="s">
        <v>164</v>
      </c>
      <c r="C30" s="81">
        <f>SUM(C28:C29)</f>
        <v>-108873</v>
      </c>
      <c r="D30" s="83"/>
      <c r="E30" s="81">
        <f>SUM(E28:E29)</f>
        <v>0.27000000001862645</v>
      </c>
      <c r="F30" s="83"/>
      <c r="G30" s="81">
        <f>SUM(G28:G29)</f>
        <v>0</v>
      </c>
      <c r="H30" s="83"/>
      <c r="I30" s="81">
        <f>SUM(I28:I29)</f>
        <v>0</v>
      </c>
      <c r="J30" s="83"/>
      <c r="K30" s="81">
        <f>SUM(K28:K29)</f>
        <v>0</v>
      </c>
    </row>
    <row r="31" spans="1:11" ht="15.75" customHeight="1">
      <c r="A31" s="1"/>
      <c r="B31" s="25"/>
      <c r="C31" s="71"/>
      <c r="D31" s="72"/>
      <c r="E31" s="71"/>
      <c r="F31" s="72"/>
      <c r="G31" s="71"/>
      <c r="H31" s="72"/>
      <c r="I31" s="71"/>
      <c r="J31" s="72"/>
      <c r="K31" s="71"/>
    </row>
    <row r="32" spans="1:11" ht="15.75" customHeight="1" thickBot="1">
      <c r="A32" s="66" t="s">
        <v>165</v>
      </c>
      <c r="B32" s="25"/>
      <c r="C32" s="84">
        <f>C25+C30</f>
        <v>-3233138</v>
      </c>
      <c r="D32" s="85"/>
      <c r="E32" s="84">
        <f>E25+E30</f>
        <v>-1406471.930000002</v>
      </c>
      <c r="F32" s="85"/>
      <c r="G32" s="84">
        <f>G25+G30</f>
        <v>-935516.366</v>
      </c>
      <c r="H32" s="85"/>
      <c r="I32" s="84">
        <f>I25+I30</f>
        <v>-810281.85698</v>
      </c>
      <c r="J32" s="85"/>
      <c r="K32" s="84">
        <f>K25+K30</f>
        <v>-825790.3126894</v>
      </c>
    </row>
    <row r="33" spans="1:11" ht="15.75" customHeight="1">
      <c r="A33" s="66"/>
      <c r="B33" s="25"/>
      <c r="C33" s="30"/>
      <c r="D33" s="72"/>
      <c r="E33" s="30"/>
      <c r="F33" s="72"/>
      <c r="G33" s="30"/>
      <c r="H33" s="72"/>
      <c r="I33" s="30"/>
      <c r="J33" s="72"/>
      <c r="K33" s="30"/>
    </row>
    <row r="34" spans="1:11" ht="15.75" customHeight="1">
      <c r="A34" s="66" t="s">
        <v>166</v>
      </c>
      <c r="B34" s="25"/>
      <c r="C34" s="30"/>
      <c r="D34" s="72"/>
      <c r="E34" s="30"/>
      <c r="F34" s="72"/>
      <c r="G34" s="30"/>
      <c r="H34" s="72"/>
      <c r="I34" s="30"/>
      <c r="J34" s="72"/>
      <c r="K34" s="30"/>
    </row>
    <row r="35" spans="1:11" ht="15.75" customHeight="1">
      <c r="A35" s="65" t="s">
        <v>167</v>
      </c>
      <c r="B35" s="25"/>
      <c r="C35" s="30"/>
      <c r="D35" s="72"/>
      <c r="E35" s="30"/>
      <c r="F35" s="72"/>
      <c r="G35" s="30"/>
      <c r="H35" s="72"/>
      <c r="I35" s="30"/>
      <c r="J35" s="72"/>
      <c r="K35" s="30"/>
    </row>
    <row r="36" spans="1:11" ht="15.75" customHeight="1">
      <c r="A36" s="67" t="s">
        <v>168</v>
      </c>
      <c r="C36" s="172">
        <v>0</v>
      </c>
      <c r="D36" s="72"/>
      <c r="E36" s="30">
        <f>-('Table 4A'!C59-'Table 4A'!E59)</f>
        <v>500000</v>
      </c>
      <c r="F36" s="72"/>
      <c r="G36" s="30">
        <f>-('Table 4A'!E59-'Table 4A'!G59)</f>
        <v>-25000</v>
      </c>
      <c r="H36" s="72"/>
      <c r="I36" s="30">
        <f>-('Table 4A'!G59-'Table 4A'!I59)</f>
        <v>-25000</v>
      </c>
      <c r="J36" s="72"/>
      <c r="K36" s="30">
        <f>-('Table 4A'!I59-'Table 4A'!K59)</f>
        <v>-25000</v>
      </c>
    </row>
    <row r="37" spans="1:11" ht="15.75" customHeight="1">
      <c r="A37" s="67" t="s">
        <v>169</v>
      </c>
      <c r="C37" s="172"/>
      <c r="D37" s="72"/>
      <c r="E37" s="30"/>
      <c r="F37" s="72"/>
      <c r="G37" s="30"/>
      <c r="H37" s="72"/>
      <c r="I37" s="30"/>
      <c r="J37" s="72"/>
      <c r="K37" s="30"/>
    </row>
    <row r="38" spans="1:11" ht="15.75" customHeight="1" thickBot="1">
      <c r="A38" s="67" t="s">
        <v>170</v>
      </c>
      <c r="C38" s="178">
        <v>-107500</v>
      </c>
      <c r="D38" s="69"/>
      <c r="E38" s="69">
        <f>-('Table 4A'!C60-'Table 4A'!E60)-('Table 4A'!C61-'Table 4A'!E61)</f>
        <v>0</v>
      </c>
      <c r="F38" s="69"/>
      <c r="G38" s="69">
        <f>-('Table 4A'!E60-'Table 4A'!G60)-('Table 4A'!E61-'Table 4A'!G61)</f>
        <v>0</v>
      </c>
      <c r="H38" s="69"/>
      <c r="I38" s="69">
        <f>-('Table 4A'!G60-'Table 4A'!I60)-('Table 4A'!G61-'Table 4A'!I61)</f>
        <v>0</v>
      </c>
      <c r="J38" s="69"/>
      <c r="K38" s="69">
        <f>-('Table 4A'!I60-'Table 4A'!K60)-('Table 4A'!I61-'Table 4A'!K61)</f>
        <v>0</v>
      </c>
    </row>
    <row r="39" spans="1:11" ht="15.75" customHeight="1">
      <c r="A39" s="66" t="s">
        <v>171</v>
      </c>
      <c r="B39" s="25"/>
      <c r="C39" s="86">
        <f>SUM(C36:C38)</f>
        <v>-107500</v>
      </c>
      <c r="D39" s="87"/>
      <c r="E39" s="86">
        <f>SUM(E36:E38)</f>
        <v>500000</v>
      </c>
      <c r="F39" s="87"/>
      <c r="G39" s="86">
        <f>SUM(G36:G38)</f>
        <v>-25000</v>
      </c>
      <c r="H39" s="87"/>
      <c r="I39" s="86">
        <f>SUM(I36:I38)</f>
        <v>-25000</v>
      </c>
      <c r="J39" s="87"/>
      <c r="K39" s="86">
        <f>SUM(K36:K38)</f>
        <v>-25000</v>
      </c>
    </row>
    <row r="40" spans="1:11" ht="15.75" customHeight="1">
      <c r="A40" s="66"/>
      <c r="B40" s="25"/>
      <c r="C40" s="30"/>
      <c r="D40" s="72"/>
      <c r="E40" s="30"/>
      <c r="F40" s="72"/>
      <c r="G40" s="30"/>
      <c r="H40" s="72"/>
      <c r="I40" s="30"/>
      <c r="J40" s="72"/>
      <c r="K40" s="30"/>
    </row>
    <row r="41" spans="1:11" ht="15.75" customHeight="1">
      <c r="A41" s="66" t="s">
        <v>172</v>
      </c>
      <c r="B41" s="25"/>
      <c r="C41" s="71"/>
      <c r="D41" s="72"/>
      <c r="E41" s="71"/>
      <c r="F41" s="72"/>
      <c r="G41" s="71"/>
      <c r="H41" s="72"/>
      <c r="I41" s="71"/>
      <c r="J41" s="72"/>
      <c r="K41" s="71"/>
    </row>
    <row r="42" spans="1:11" ht="15.75" customHeight="1">
      <c r="A42" s="65" t="s">
        <v>173</v>
      </c>
      <c r="C42" s="172"/>
      <c r="D42" s="72"/>
      <c r="E42" s="30"/>
      <c r="F42" s="72"/>
      <c r="G42" s="30"/>
      <c r="H42" s="72"/>
      <c r="I42" s="30"/>
      <c r="J42" s="72"/>
      <c r="K42" s="30"/>
    </row>
    <row r="43" spans="1:11" ht="15.75" customHeight="1">
      <c r="A43" s="65" t="s">
        <v>21</v>
      </c>
      <c r="C43" s="172"/>
      <c r="D43" s="72"/>
      <c r="E43" s="30"/>
      <c r="F43" s="72"/>
      <c r="G43" s="30"/>
      <c r="H43" s="72"/>
      <c r="I43" s="30"/>
      <c r="J43" s="72"/>
      <c r="K43" s="30"/>
    </row>
    <row r="44" spans="1:11" ht="15.75" customHeight="1">
      <c r="A44" s="65" t="s">
        <v>174</v>
      </c>
      <c r="C44" s="172">
        <v>-292196</v>
      </c>
      <c r="D44" s="72"/>
      <c r="E44" s="30">
        <f>-('Table 4A'!C68-'Table 4A'!E68)-'Table 5A'!E13</f>
        <v>-264962.41714285314</v>
      </c>
      <c r="F44" s="72"/>
      <c r="G44" s="30">
        <f>-('Table 4A'!E68-'Table 4A'!G68)-'Table 5A'!G13</f>
        <v>-114091.8307428509</v>
      </c>
      <c r="H44" s="72"/>
      <c r="I44" s="30">
        <f>-('Table 4A'!G68-'Table 4A'!I68)-'Table 5A'!I13</f>
        <v>-3103.4682651385665</v>
      </c>
      <c r="J44" s="72"/>
      <c r="K44" s="30">
        <f>-('Table 4A'!I68-'Table 4A'!K68)-'Table 5A'!K13</f>
        <v>-63146.57231309265</v>
      </c>
    </row>
    <row r="45" spans="1:11" ht="15.75" customHeight="1">
      <c r="A45" s="65" t="s">
        <v>21</v>
      </c>
      <c r="C45" s="177"/>
      <c r="D45" s="74"/>
      <c r="E45" s="76"/>
      <c r="F45" s="74"/>
      <c r="G45" s="76"/>
      <c r="H45" s="74"/>
      <c r="I45" s="76"/>
      <c r="J45" s="74"/>
      <c r="K45" s="76"/>
    </row>
    <row r="46" spans="1:11" ht="15.75" customHeight="1" thickBot="1">
      <c r="A46" s="66" t="s">
        <v>175</v>
      </c>
      <c r="B46" s="25"/>
      <c r="C46" s="79">
        <f>SUM(C42:C45)</f>
        <v>-292196</v>
      </c>
      <c r="D46" s="79"/>
      <c r="E46" s="79">
        <f>SUM(E42:E45)</f>
        <v>-264962.41714285314</v>
      </c>
      <c r="F46" s="79"/>
      <c r="G46" s="79">
        <f>SUM(G42:G45)</f>
        <v>-114091.8307428509</v>
      </c>
      <c r="H46" s="79"/>
      <c r="I46" s="79">
        <f>SUM(I42:I45)</f>
        <v>-3103.4682651385665</v>
      </c>
      <c r="J46" s="79"/>
      <c r="K46" s="79">
        <f>SUM(K42:K45)</f>
        <v>-63146.57231309265</v>
      </c>
    </row>
    <row r="47" spans="1:11" ht="15.75" customHeight="1">
      <c r="A47" s="1"/>
      <c r="B47" s="25"/>
      <c r="C47" s="88"/>
      <c r="D47" s="88"/>
      <c r="E47" s="88"/>
      <c r="F47" s="89"/>
      <c r="G47" s="88"/>
      <c r="H47" s="89"/>
      <c r="I47" s="88"/>
      <c r="J47" s="89"/>
      <c r="K47" s="88"/>
    </row>
    <row r="48" spans="1:11" ht="15.75" customHeight="1" thickBot="1">
      <c r="A48" s="1" t="s">
        <v>176</v>
      </c>
      <c r="B48" s="25"/>
      <c r="C48" s="84">
        <f>C17+C32+C39+C46</f>
        <v>0.377142870798707</v>
      </c>
      <c r="D48" s="84"/>
      <c r="E48" s="84">
        <f>E17+E32+E39+E46</f>
        <v>0.2699999981559813</v>
      </c>
      <c r="F48" s="84"/>
      <c r="G48" s="84">
        <f>G17+G32+G39+G46</f>
        <v>189115.42000000167</v>
      </c>
      <c r="H48" s="84"/>
      <c r="I48" s="84">
        <f>I17+I32+I39+I46</f>
        <v>200000</v>
      </c>
      <c r="J48" s="84"/>
      <c r="K48" s="84">
        <f>K17+K32+K39+K46</f>
        <v>225000</v>
      </c>
    </row>
    <row r="49" spans="1:11" ht="12.75">
      <c r="A49" s="1"/>
      <c r="B49" s="25"/>
      <c r="C49" s="88"/>
      <c r="D49" s="88"/>
      <c r="E49" s="88"/>
      <c r="F49" s="89"/>
      <c r="G49" s="88"/>
      <c r="H49" s="89"/>
      <c r="I49" s="88"/>
      <c r="J49" s="89"/>
      <c r="K49" s="88"/>
    </row>
    <row r="50" spans="1:11" ht="13.5" thickBot="1">
      <c r="A50" s="1" t="s">
        <v>177</v>
      </c>
      <c r="C50" s="90">
        <f>C11+C48</f>
        <v>12567476.37714287</v>
      </c>
      <c r="D50" s="90"/>
      <c r="E50" s="90">
        <f>E11+E48</f>
        <v>12567476.647142868</v>
      </c>
      <c r="F50" s="90"/>
      <c r="G50" s="90">
        <f>G11+G48</f>
        <v>12756592.06714287</v>
      </c>
      <c r="H50" s="90"/>
      <c r="I50" s="90">
        <f>I11+I48</f>
        <v>12956592.06714287</v>
      </c>
      <c r="J50" s="90"/>
      <c r="K50" s="90">
        <f>K11+K48</f>
        <v>13181592.06714287</v>
      </c>
    </row>
    <row r="51" spans="3:11" ht="13.5" thickTop="1">
      <c r="C51" s="70"/>
      <c r="D51" s="70"/>
      <c r="E51" s="70"/>
      <c r="F51" s="70"/>
      <c r="G51" s="70"/>
      <c r="H51" s="11"/>
      <c r="I51" s="70"/>
      <c r="J51" s="70"/>
      <c r="K51" s="70"/>
    </row>
    <row r="52" spans="1:11" ht="12.75">
      <c r="A52" s="1" t="s">
        <v>178</v>
      </c>
      <c r="C52" s="91">
        <f>C50-'Table 4A'!C11</f>
        <v>0.377142870798707</v>
      </c>
      <c r="D52" s="91"/>
      <c r="E52" s="91">
        <f>E50-'Table 4A'!E11</f>
        <v>0.647142868489027</v>
      </c>
      <c r="F52" s="91"/>
      <c r="G52" s="91">
        <f>G50-'Table 4A'!G11</f>
        <v>1.0671428702771664</v>
      </c>
      <c r="H52" s="91"/>
      <c r="I52" s="91">
        <f>I50-'Table 4A'!I11</f>
        <v>1.0671428702771664</v>
      </c>
      <c r="J52" s="91"/>
      <c r="K52" s="91">
        <f>K50-'Table 4A'!K11</f>
        <v>1.0671428702771664</v>
      </c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84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5">
      <selection activeCell="C9" sqref="C9:K9"/>
    </sheetView>
  </sheetViews>
  <sheetFormatPr defaultColWidth="9.140625" defaultRowHeight="12.75"/>
  <cols>
    <col min="1" max="1" width="37.7109375" style="0" customWidth="1"/>
    <col min="2" max="2" width="3.8515625" style="0" customWidth="1"/>
    <col min="3" max="3" width="14.8515625" style="0" customWidth="1"/>
    <col min="4" max="4" width="1.8515625" style="0" customWidth="1"/>
    <col min="5" max="5" width="14.8515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4.8515625" style="0" customWidth="1"/>
  </cols>
  <sheetData>
    <row r="1" spans="1:11" ht="15.75">
      <c r="A1" s="192" t="str">
        <f>'Table 1'!A1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147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3:11" ht="15.75" customHeight="1"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5.75" customHeight="1">
      <c r="C9" s="180"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3:11" ht="15.75" customHeight="1">
      <c r="C10" s="22"/>
      <c r="D10" s="23"/>
      <c r="E10" s="17"/>
      <c r="F10" s="23"/>
      <c r="G10" s="17"/>
      <c r="H10" s="23"/>
      <c r="I10" s="17"/>
      <c r="J10" s="23"/>
      <c r="K10" s="17"/>
    </row>
    <row r="11" spans="1:11" ht="15.75" customHeight="1" thickBot="1">
      <c r="A11" s="1" t="s">
        <v>148</v>
      </c>
      <c r="B11" s="25"/>
      <c r="C11" s="144"/>
      <c r="D11" s="77"/>
      <c r="E11" s="78">
        <f>+C50</f>
        <v>0</v>
      </c>
      <c r="F11" s="77"/>
      <c r="G11" s="78">
        <f>+E50</f>
        <v>0</v>
      </c>
      <c r="H11" s="77"/>
      <c r="I11" s="78">
        <f>+G50</f>
        <v>0</v>
      </c>
      <c r="J11" s="77"/>
      <c r="K11" s="78">
        <f>+I50</f>
        <v>0</v>
      </c>
    </row>
    <row r="12" spans="1:11" ht="15.75" customHeight="1">
      <c r="A12" s="66" t="s">
        <v>149</v>
      </c>
      <c r="B12" s="25"/>
      <c r="C12" s="92"/>
      <c r="D12" s="72"/>
      <c r="E12" s="71"/>
      <c r="F12" s="72"/>
      <c r="G12" s="71"/>
      <c r="H12" s="72"/>
      <c r="I12" s="71"/>
      <c r="J12" s="72"/>
      <c r="K12" s="71"/>
    </row>
    <row r="13" spans="1:11" ht="15.75" customHeight="1">
      <c r="A13" s="65" t="s">
        <v>150</v>
      </c>
      <c r="C13" s="136"/>
      <c r="D13" s="72"/>
      <c r="E13" s="30">
        <f>'Table 3B'!E44</f>
        <v>0</v>
      </c>
      <c r="F13" s="72"/>
      <c r="G13" s="30">
        <f>'Table 3B'!G44</f>
        <v>0</v>
      </c>
      <c r="H13" s="72"/>
      <c r="I13" s="30">
        <f>'Table 3B'!I44</f>
        <v>0</v>
      </c>
      <c r="J13" s="72"/>
      <c r="K13" s="30">
        <f>'Table 3B'!K44</f>
        <v>0</v>
      </c>
    </row>
    <row r="14" spans="1:11" ht="15.75" customHeight="1">
      <c r="A14" s="65" t="s">
        <v>151</v>
      </c>
      <c r="C14" s="136"/>
      <c r="D14" s="72"/>
      <c r="E14" s="30">
        <f>'Table 3B'!E34</f>
        <v>0</v>
      </c>
      <c r="F14" s="72"/>
      <c r="G14" s="30">
        <f>'Table 3B'!G34</f>
        <v>50000</v>
      </c>
      <c r="H14" s="72"/>
      <c r="I14" s="30">
        <f>'Table 3B'!I34</f>
        <v>51500</v>
      </c>
      <c r="J14" s="72"/>
      <c r="K14" s="30">
        <f>'Table 3B'!K34</f>
        <v>53045</v>
      </c>
    </row>
    <row r="15" spans="1:11" ht="15.75" customHeight="1">
      <c r="A15" s="65" t="s">
        <v>152</v>
      </c>
      <c r="C15" s="136"/>
      <c r="D15" s="72"/>
      <c r="E15" s="64">
        <f>('Table 4B'!C12-'Table 4B'!E12)+('Table 4B'!C13-'Table 4B'!E13)</f>
        <v>0</v>
      </c>
      <c r="F15" s="73"/>
      <c r="G15" s="64">
        <f>('Table 4B'!E12-'Table 4B'!G12)+('Table 4B'!E13-'Table 4B'!G13)</f>
        <v>0</v>
      </c>
      <c r="H15" s="73"/>
      <c r="I15" s="64">
        <f>('Table 4B'!G12-'Table 4B'!I12)+('Table 4B'!G13-'Table 4B'!I13)</f>
        <v>0</v>
      </c>
      <c r="J15" s="73"/>
      <c r="K15" s="64">
        <f>('Table 4B'!I12-'Table 4B'!K12)+('Table 4B'!I13-'Table 4B'!K13)</f>
        <v>0</v>
      </c>
    </row>
    <row r="16" spans="1:11" ht="15.75" customHeight="1">
      <c r="A16" s="65" t="s">
        <v>153</v>
      </c>
      <c r="C16" s="138"/>
      <c r="D16" s="74"/>
      <c r="E16" s="68">
        <f>('Table 4B'!C14-'Table 4B'!E14)+('Table 4B'!C15-'Table 4B'!E15)-('Table 4B'!C56-'Table 4B'!E56)</f>
        <v>0</v>
      </c>
      <c r="F16" s="75"/>
      <c r="G16" s="68">
        <f>('Table 4B'!E14-'Table 4B'!G14)+('Table 4B'!E15-'Table 4B'!G15)-('Table 4B'!E56-'Table 4B'!G56)</f>
        <v>0</v>
      </c>
      <c r="H16" s="75"/>
      <c r="I16" s="68">
        <f>('Table 4B'!G14-'Table 4B'!I14)+('Table 4B'!G15-'Table 4B'!I15)-('Table 4B'!G56-'Table 4B'!I56)</f>
        <v>0</v>
      </c>
      <c r="J16" s="75"/>
      <c r="K16" s="68">
        <f>('Table 4B'!I14-'Table 4B'!K14)+('Table 4B'!I15-'Table 4B'!K15)-('Table 4B'!I56-'Table 4B'!K56)</f>
        <v>0</v>
      </c>
    </row>
    <row r="17" spans="1:11" ht="15.75" customHeight="1" thickBot="1">
      <c r="A17" s="66" t="s">
        <v>154</v>
      </c>
      <c r="B17" s="25"/>
      <c r="C17" s="144"/>
      <c r="D17" s="80"/>
      <c r="E17" s="79">
        <f>SUM(E13:E16)</f>
        <v>0</v>
      </c>
      <c r="F17" s="80"/>
      <c r="G17" s="79">
        <f>SUM(G13:G16)</f>
        <v>50000</v>
      </c>
      <c r="H17" s="80"/>
      <c r="I17" s="79">
        <f>SUM(I13:I16)</f>
        <v>51500</v>
      </c>
      <c r="J17" s="80"/>
      <c r="K17" s="79">
        <f>SUM(K13:K16)</f>
        <v>53045</v>
      </c>
    </row>
    <row r="18" spans="1:11" ht="15.75" customHeight="1">
      <c r="A18" s="1"/>
      <c r="B18" s="25"/>
      <c r="C18" s="92"/>
      <c r="D18" s="72"/>
      <c r="E18" s="71"/>
      <c r="F18" s="72"/>
      <c r="G18" s="71"/>
      <c r="H18" s="72"/>
      <c r="I18" s="71"/>
      <c r="J18" s="72"/>
      <c r="K18" s="71"/>
    </row>
    <row r="19" spans="1:11" ht="15.75" customHeight="1">
      <c r="A19" s="66" t="s">
        <v>155</v>
      </c>
      <c r="B19" s="25"/>
      <c r="C19" s="64"/>
      <c r="D19" s="30"/>
      <c r="E19" s="30"/>
      <c r="F19" s="30"/>
      <c r="G19" s="30"/>
      <c r="H19" s="30"/>
      <c r="I19" s="30"/>
      <c r="J19" s="30"/>
      <c r="K19" s="30"/>
    </row>
    <row r="20" spans="1:11" ht="15.75" customHeight="1">
      <c r="A20" s="65" t="s">
        <v>156</v>
      </c>
      <c r="B20" s="25"/>
      <c r="C20" s="93"/>
      <c r="D20" s="70"/>
      <c r="E20" s="70"/>
      <c r="F20" s="70"/>
      <c r="G20" s="70"/>
      <c r="H20" s="70"/>
      <c r="I20" s="70"/>
      <c r="J20" s="70"/>
      <c r="K20" s="70"/>
    </row>
    <row r="21" spans="1:11" ht="15.75" customHeight="1">
      <c r="A21" s="67" t="s">
        <v>157</v>
      </c>
      <c r="C21" s="136"/>
      <c r="D21" s="72"/>
      <c r="E21" s="30"/>
      <c r="F21" s="72"/>
      <c r="G21" s="30"/>
      <c r="H21" s="72"/>
      <c r="I21" s="30"/>
      <c r="J21" s="72"/>
      <c r="K21" s="30"/>
    </row>
    <row r="22" spans="1:11" ht="15.75" customHeight="1">
      <c r="A22" s="67" t="s">
        <v>158</v>
      </c>
      <c r="C22" s="136"/>
      <c r="D22" s="72"/>
      <c r="E22" s="30"/>
      <c r="F22" s="72"/>
      <c r="G22" s="30"/>
      <c r="H22" s="72"/>
      <c r="I22" s="30"/>
      <c r="J22" s="72"/>
      <c r="K22" s="30"/>
    </row>
    <row r="23" spans="1:11" ht="15.75" customHeight="1">
      <c r="A23" s="67" t="s">
        <v>159</v>
      </c>
      <c r="C23" s="136"/>
      <c r="D23" s="72"/>
      <c r="E23" s="71">
        <f>('Table 4B'!C37-'Table 4B'!E37)-'Table 5B'!E14</f>
        <v>0</v>
      </c>
      <c r="F23" s="72"/>
      <c r="G23" s="71">
        <f>('Table 4B'!E37-'Table 4B'!G37)-'Table 5B'!G14</f>
        <v>17000</v>
      </c>
      <c r="H23" s="72"/>
      <c r="I23" s="71">
        <f>('Table 4B'!G37-'Table 4B'!I37)-'Table 5B'!I14</f>
        <v>15500</v>
      </c>
      <c r="J23" s="72"/>
      <c r="K23" s="71">
        <f>('Table 4B'!I37-'Table 4B'!K37)-'Table 5B'!K14</f>
        <v>13955</v>
      </c>
    </row>
    <row r="24" spans="1:11" ht="15.75" customHeight="1">
      <c r="A24" s="67" t="s">
        <v>160</v>
      </c>
      <c r="C24" s="138"/>
      <c r="D24" s="74"/>
      <c r="E24" s="76">
        <f>'Table 4B'!C31-'Table 4B'!E31</f>
        <v>-2000000</v>
      </c>
      <c r="F24" s="74"/>
      <c r="G24" s="76">
        <f>'Table 4B'!E31-'Table 4B'!G31</f>
        <v>0</v>
      </c>
      <c r="H24" s="74"/>
      <c r="I24" s="76">
        <f>'Table 4B'!G31-'Table 4B'!I31</f>
        <v>0</v>
      </c>
      <c r="J24" s="74"/>
      <c r="K24" s="76">
        <f>'Table 4B'!I31-'Table 4B'!K31</f>
        <v>0</v>
      </c>
    </row>
    <row r="25" spans="1:11" ht="15.75" customHeight="1">
      <c r="A25" s="67" t="s">
        <v>161</v>
      </c>
      <c r="C25" s="138"/>
      <c r="D25" s="82"/>
      <c r="E25" s="81">
        <f>SUM(E21:E24)</f>
        <v>-2000000</v>
      </c>
      <c r="F25" s="82"/>
      <c r="G25" s="81">
        <f>SUM(G21:G24)</f>
        <v>17000</v>
      </c>
      <c r="H25" s="82"/>
      <c r="I25" s="81">
        <f>SUM(I21:I24)</f>
        <v>15500</v>
      </c>
      <c r="J25" s="82"/>
      <c r="K25" s="81">
        <f>SUM(K21:K24)</f>
        <v>13955</v>
      </c>
    </row>
    <row r="26" spans="1:11" ht="15.75" customHeight="1">
      <c r="A26" s="66"/>
      <c r="B26" s="25"/>
      <c r="C26" s="64"/>
      <c r="D26" s="72"/>
      <c r="E26" s="30"/>
      <c r="F26" s="72"/>
      <c r="G26" s="30"/>
      <c r="H26" s="72"/>
      <c r="I26" s="30"/>
      <c r="J26" s="72"/>
      <c r="K26" s="30"/>
    </row>
    <row r="27" spans="1:11" ht="15.75" customHeight="1">
      <c r="A27" s="65" t="s">
        <v>162</v>
      </c>
      <c r="B27" s="25"/>
      <c r="C27" s="92"/>
      <c r="D27" s="72"/>
      <c r="E27" s="71"/>
      <c r="F27" s="72"/>
      <c r="G27" s="71"/>
      <c r="H27" s="72"/>
      <c r="I27" s="71"/>
      <c r="J27" s="72"/>
      <c r="K27" s="71"/>
    </row>
    <row r="28" spans="1:11" ht="15.75" customHeight="1">
      <c r="A28" s="67" t="s">
        <v>41</v>
      </c>
      <c r="C28" s="136"/>
      <c r="D28" s="72"/>
      <c r="E28" s="71">
        <f>'Table 4B'!C20-'Table 4B'!E20</f>
        <v>0</v>
      </c>
      <c r="F28" s="72"/>
      <c r="G28" s="71">
        <f>'Table 4B'!E20-'Table 4B'!G20</f>
        <v>0</v>
      </c>
      <c r="H28" s="72"/>
      <c r="I28" s="71">
        <f>'Table 4B'!G20-'Table 4B'!I20</f>
        <v>0</v>
      </c>
      <c r="J28" s="72"/>
      <c r="K28" s="71">
        <f>'Table 4B'!I20-'Table 4B'!K20</f>
        <v>0</v>
      </c>
    </row>
    <row r="29" spans="1:12" ht="15.75" customHeight="1">
      <c r="A29" s="67" t="s">
        <v>163</v>
      </c>
      <c r="C29" s="138"/>
      <c r="D29" s="12"/>
      <c r="E29" s="12">
        <f>('Table 4B'!C21-'Table 4B'!E21)+('Table 4B'!C22-'Table 4B'!E22)+('Table 4B'!C41-'Table 4B'!E41)-('Table 4B'!C64-'Table 4B'!E64)</f>
        <v>2000000</v>
      </c>
      <c r="F29" s="12"/>
      <c r="G29" s="12">
        <f>('Table 4B'!E21-'Table 4B'!G21)+('Table 4B'!E22-'Table 4B'!G22)+('Table 4B'!E41-'Table 4B'!G41)-('Table 4B'!E64-'Table 4B'!G64)</f>
        <v>-67000</v>
      </c>
      <c r="H29" s="12"/>
      <c r="I29" s="12">
        <f>('Table 4B'!G21-'Table 4B'!I21)+('Table 4B'!G22-'Table 4B'!I22)+('Table 4B'!G41-'Table 4B'!I41)-('Table 4B'!G64-'Table 4B'!I64)</f>
        <v>-67000</v>
      </c>
      <c r="J29" s="12"/>
      <c r="K29" s="12">
        <f>('Table 4B'!I21-'Table 4B'!K21)+('Table 4B'!I22-'Table 4B'!K22)+('Table 4B'!I41-'Table 4B'!K41)-('Table 4B'!I64-'Table 4B'!K64)</f>
        <v>-67000</v>
      </c>
      <c r="L29" s="25"/>
    </row>
    <row r="30" spans="1:11" ht="15.75" customHeight="1">
      <c r="A30" s="67" t="s">
        <v>164</v>
      </c>
      <c r="C30" s="146"/>
      <c r="D30" s="83"/>
      <c r="E30" s="81">
        <f>SUM(E28:E29)</f>
        <v>2000000</v>
      </c>
      <c r="F30" s="83"/>
      <c r="G30" s="81">
        <f>SUM(G28:G29)</f>
        <v>-67000</v>
      </c>
      <c r="H30" s="83"/>
      <c r="I30" s="81">
        <f>SUM(I28:I29)</f>
        <v>-67000</v>
      </c>
      <c r="J30" s="83"/>
      <c r="K30" s="81">
        <f>SUM(K28:K29)</f>
        <v>-67000</v>
      </c>
    </row>
    <row r="31" spans="1:11" ht="15.75" customHeight="1">
      <c r="A31" s="1"/>
      <c r="B31" s="25"/>
      <c r="C31" s="92"/>
      <c r="D31" s="72"/>
      <c r="E31" s="71"/>
      <c r="F31" s="72"/>
      <c r="G31" s="71"/>
      <c r="H31" s="72"/>
      <c r="I31" s="71"/>
      <c r="J31" s="72"/>
      <c r="K31" s="71"/>
    </row>
    <row r="32" spans="1:11" ht="15.75" customHeight="1" thickBot="1">
      <c r="A32" s="66" t="s">
        <v>165</v>
      </c>
      <c r="B32" s="25"/>
      <c r="C32" s="145"/>
      <c r="D32" s="85"/>
      <c r="E32" s="84">
        <f>E25+E30</f>
        <v>0</v>
      </c>
      <c r="F32" s="85"/>
      <c r="G32" s="84">
        <f>G25+G30</f>
        <v>-50000</v>
      </c>
      <c r="H32" s="85"/>
      <c r="I32" s="84">
        <f>I25+I30</f>
        <v>-51500</v>
      </c>
      <c r="J32" s="85"/>
      <c r="K32" s="84">
        <f>K25+K30</f>
        <v>-53045</v>
      </c>
    </row>
    <row r="33" spans="1:11" ht="15.75" customHeight="1">
      <c r="A33" s="66"/>
      <c r="B33" s="25"/>
      <c r="C33" s="64"/>
      <c r="D33" s="72"/>
      <c r="E33" s="30"/>
      <c r="F33" s="72"/>
      <c r="G33" s="30"/>
      <c r="H33" s="72"/>
      <c r="I33" s="30"/>
      <c r="J33" s="72"/>
      <c r="K33" s="30"/>
    </row>
    <row r="34" spans="1:11" ht="15.75" customHeight="1">
      <c r="A34" s="66" t="s">
        <v>166</v>
      </c>
      <c r="B34" s="25"/>
      <c r="C34" s="64"/>
      <c r="D34" s="72"/>
      <c r="E34" s="30"/>
      <c r="F34" s="72"/>
      <c r="G34" s="30"/>
      <c r="H34" s="72"/>
      <c r="I34" s="30"/>
      <c r="J34" s="72"/>
      <c r="K34" s="30"/>
    </row>
    <row r="35" spans="1:11" ht="15.75" customHeight="1">
      <c r="A35" s="65" t="s">
        <v>167</v>
      </c>
      <c r="B35" s="25"/>
      <c r="C35" s="64"/>
      <c r="D35" s="72"/>
      <c r="E35" s="30"/>
      <c r="F35" s="72"/>
      <c r="G35" s="30"/>
      <c r="H35" s="72"/>
      <c r="I35" s="30"/>
      <c r="J35" s="72"/>
      <c r="K35" s="30"/>
    </row>
    <row r="36" spans="1:11" ht="15.75" customHeight="1">
      <c r="A36" s="67" t="s">
        <v>168</v>
      </c>
      <c r="C36" s="136"/>
      <c r="D36" s="72"/>
      <c r="E36" s="30">
        <f>-('Table 4B'!C59-'Table 4B'!E59)</f>
        <v>0</v>
      </c>
      <c r="F36" s="72"/>
      <c r="G36" s="30">
        <f>-('Table 4B'!E59-'Table 4B'!G59)</f>
        <v>0</v>
      </c>
      <c r="H36" s="72"/>
      <c r="I36" s="30">
        <f>-('Table 4B'!G59-'Table 4B'!I59)</f>
        <v>0</v>
      </c>
      <c r="J36" s="72"/>
      <c r="K36" s="30">
        <f>-('Table 4B'!I59-'Table 4B'!K59)</f>
        <v>0</v>
      </c>
    </row>
    <row r="37" spans="1:11" ht="15.75" customHeight="1">
      <c r="A37" s="67" t="s">
        <v>169</v>
      </c>
      <c r="C37" s="136"/>
      <c r="D37" s="72"/>
      <c r="E37" s="30"/>
      <c r="F37" s="72"/>
      <c r="G37" s="30"/>
      <c r="H37" s="72"/>
      <c r="I37" s="30"/>
      <c r="J37" s="72"/>
      <c r="K37" s="30"/>
    </row>
    <row r="38" spans="1:11" ht="15.75" customHeight="1" thickBot="1">
      <c r="A38" s="67" t="s">
        <v>170</v>
      </c>
      <c r="C38" s="147"/>
      <c r="D38" s="69"/>
      <c r="E38" s="69">
        <f>-('Table 4B'!C60-'Table 4B'!E60)-('Table 4B'!C61-'Table 4B'!E61)</f>
        <v>0</v>
      </c>
      <c r="F38" s="69"/>
      <c r="G38" s="69">
        <f>-('Table 4B'!E60-'Table 4B'!G60)-('Table 4B'!E61-'Table 4B'!G61)</f>
        <v>0</v>
      </c>
      <c r="H38" s="69"/>
      <c r="I38" s="69">
        <f>-('Table 4B'!G60-'Table 4B'!I60)-('Table 4B'!G61-'Table 4B'!I61)</f>
        <v>0</v>
      </c>
      <c r="J38" s="69"/>
      <c r="K38" s="69">
        <f>-('Table 4B'!I60-'Table 4B'!K60)-('Table 4B'!I61-'Table 4B'!K61)</f>
        <v>0</v>
      </c>
    </row>
    <row r="39" spans="1:11" ht="15.75" customHeight="1">
      <c r="A39" s="66" t="s">
        <v>171</v>
      </c>
      <c r="B39" s="25"/>
      <c r="C39" s="148"/>
      <c r="D39" s="87"/>
      <c r="E39" s="86">
        <f>SUM(E36:E38)</f>
        <v>0</v>
      </c>
      <c r="F39" s="87"/>
      <c r="G39" s="86">
        <f>SUM(G36:G38)</f>
        <v>0</v>
      </c>
      <c r="H39" s="87"/>
      <c r="I39" s="86">
        <f>SUM(I36:I38)</f>
        <v>0</v>
      </c>
      <c r="J39" s="87"/>
      <c r="K39" s="86">
        <f>SUM(K36:K38)</f>
        <v>0</v>
      </c>
    </row>
    <row r="40" spans="1:11" ht="15.75" customHeight="1">
      <c r="A40" s="66"/>
      <c r="B40" s="25"/>
      <c r="C40" s="149"/>
      <c r="D40" s="72"/>
      <c r="E40" s="30"/>
      <c r="F40" s="72"/>
      <c r="G40" s="30"/>
      <c r="H40" s="72"/>
      <c r="I40" s="30"/>
      <c r="J40" s="72"/>
      <c r="K40" s="30"/>
    </row>
    <row r="41" spans="1:11" ht="15.75" customHeight="1">
      <c r="A41" s="66" t="s">
        <v>172</v>
      </c>
      <c r="B41" s="25"/>
      <c r="C41" s="150"/>
      <c r="D41" s="72"/>
      <c r="E41" s="71"/>
      <c r="F41" s="72"/>
      <c r="G41" s="71"/>
      <c r="H41" s="72"/>
      <c r="I41" s="71"/>
      <c r="J41" s="72"/>
      <c r="K41" s="71"/>
    </row>
    <row r="42" spans="1:11" ht="15.75" customHeight="1">
      <c r="A42" s="65" t="s">
        <v>173</v>
      </c>
      <c r="C42" s="136"/>
      <c r="D42" s="72"/>
      <c r="E42" s="30"/>
      <c r="F42" s="72"/>
      <c r="G42" s="30"/>
      <c r="H42" s="72"/>
      <c r="I42" s="30"/>
      <c r="J42" s="72"/>
      <c r="K42" s="30"/>
    </row>
    <row r="43" spans="1:11" ht="15.75" customHeight="1">
      <c r="A43" s="65" t="s">
        <v>21</v>
      </c>
      <c r="C43" s="136"/>
      <c r="D43" s="72"/>
      <c r="E43" s="30"/>
      <c r="F43" s="72"/>
      <c r="G43" s="30"/>
      <c r="H43" s="72"/>
      <c r="I43" s="30"/>
      <c r="J43" s="72"/>
      <c r="K43" s="30"/>
    </row>
    <row r="44" spans="1:11" ht="15.75" customHeight="1">
      <c r="A44" s="65" t="s">
        <v>174</v>
      </c>
      <c r="C44" s="136"/>
      <c r="D44" s="72"/>
      <c r="E44" s="30">
        <f>-('Table 4B'!C68-'Table 4B'!E68)-'Table 5B'!E13</f>
        <v>0</v>
      </c>
      <c r="F44" s="72"/>
      <c r="G44" s="30">
        <f>-('Table 4B'!E68-'Table 4B'!G68)-'Table 5B'!G13</f>
        <v>0</v>
      </c>
      <c r="H44" s="72"/>
      <c r="I44" s="30">
        <f>-('Table 4B'!G68-'Table 4B'!I68)-'Table 5B'!I13</f>
        <v>0</v>
      </c>
      <c r="J44" s="72"/>
      <c r="K44" s="30">
        <f>-('Table 4B'!I68-'Table 4B'!K68)-'Table 5B'!K13</f>
        <v>0</v>
      </c>
    </row>
    <row r="45" spans="1:11" ht="15.75" customHeight="1">
      <c r="A45" s="65" t="s">
        <v>21</v>
      </c>
      <c r="C45" s="138"/>
      <c r="D45" s="74"/>
      <c r="E45" s="76"/>
      <c r="F45" s="74"/>
      <c r="G45" s="76"/>
      <c r="H45" s="74"/>
      <c r="I45" s="76"/>
      <c r="J45" s="74"/>
      <c r="K45" s="76"/>
    </row>
    <row r="46" spans="1:11" ht="15.75" customHeight="1" thickBot="1">
      <c r="A46" s="66" t="s">
        <v>175</v>
      </c>
      <c r="B46" s="25"/>
      <c r="C46" s="151"/>
      <c r="D46" s="79"/>
      <c r="E46" s="79">
        <f>SUM(E42:E45)</f>
        <v>0</v>
      </c>
      <c r="F46" s="79"/>
      <c r="G46" s="79">
        <f>SUM(G42:G45)</f>
        <v>0</v>
      </c>
      <c r="H46" s="79"/>
      <c r="I46" s="79">
        <f>SUM(I42:I45)</f>
        <v>0</v>
      </c>
      <c r="J46" s="79"/>
      <c r="K46" s="79">
        <f>SUM(K42:K45)</f>
        <v>0</v>
      </c>
    </row>
    <row r="47" spans="1:11" ht="15.75" customHeight="1">
      <c r="A47" s="1"/>
      <c r="B47" s="25"/>
      <c r="C47" s="152"/>
      <c r="D47" s="88"/>
      <c r="E47" s="88"/>
      <c r="F47" s="89"/>
      <c r="G47" s="88"/>
      <c r="H47" s="89"/>
      <c r="I47" s="88"/>
      <c r="J47" s="89"/>
      <c r="K47" s="88"/>
    </row>
    <row r="48" spans="1:11" ht="15.75" customHeight="1" thickBot="1">
      <c r="A48" s="1" t="s">
        <v>176</v>
      </c>
      <c r="B48" s="25"/>
      <c r="C48" s="153"/>
      <c r="D48" s="84"/>
      <c r="E48" s="84">
        <f>E17+E32+E39+E46</f>
        <v>0</v>
      </c>
      <c r="F48" s="84"/>
      <c r="G48" s="84">
        <f>G17+G32+G39+G46</f>
        <v>0</v>
      </c>
      <c r="H48" s="84"/>
      <c r="I48" s="84">
        <f>I17+I32+I39+I46</f>
        <v>0</v>
      </c>
      <c r="J48" s="84"/>
      <c r="K48" s="84">
        <f>K17+K32+K39+K46</f>
        <v>0</v>
      </c>
    </row>
    <row r="49" spans="1:11" ht="12.75">
      <c r="A49" s="1"/>
      <c r="B49" s="25"/>
      <c r="C49" s="152"/>
      <c r="D49" s="88"/>
      <c r="E49" s="88"/>
      <c r="F49" s="89"/>
      <c r="G49" s="88"/>
      <c r="H49" s="89"/>
      <c r="I49" s="88"/>
      <c r="J49" s="89"/>
      <c r="K49" s="88"/>
    </row>
    <row r="50" spans="1:11" ht="13.5" thickBot="1">
      <c r="A50" s="1" t="s">
        <v>177</v>
      </c>
      <c r="C50" s="154"/>
      <c r="D50" s="90"/>
      <c r="E50" s="90">
        <f>E11+E48</f>
        <v>0</v>
      </c>
      <c r="F50" s="90"/>
      <c r="G50" s="90">
        <f>G11+G48</f>
        <v>0</v>
      </c>
      <c r="H50" s="90"/>
      <c r="I50" s="90">
        <f>I11+I48</f>
        <v>0</v>
      </c>
      <c r="J50" s="90"/>
      <c r="K50" s="90">
        <f>K11+K48</f>
        <v>0</v>
      </c>
    </row>
    <row r="51" spans="3:11" ht="13.5" thickTop="1">
      <c r="C51" s="93"/>
      <c r="D51" s="70"/>
      <c r="E51" s="70"/>
      <c r="F51" s="70"/>
      <c r="G51" s="70"/>
      <c r="H51" s="11"/>
      <c r="I51" s="70"/>
      <c r="J51" s="70"/>
      <c r="K51" s="70"/>
    </row>
    <row r="52" spans="1:11" ht="12.75">
      <c r="A52" s="1" t="s">
        <v>178</v>
      </c>
      <c r="C52" s="97"/>
      <c r="D52" s="91"/>
      <c r="E52" s="88">
        <f>E50-'Table 4B'!E11</f>
        <v>0</v>
      </c>
      <c r="F52" s="91"/>
      <c r="G52" s="88">
        <f>G50-'Table 4B'!G11</f>
        <v>0</v>
      </c>
      <c r="H52" s="91"/>
      <c r="I52" s="88">
        <f>I50-'Table 4B'!I11</f>
        <v>0</v>
      </c>
      <c r="J52" s="91"/>
      <c r="K52" s="88">
        <f>K50-'Table 4B'!K11</f>
        <v>0</v>
      </c>
    </row>
    <row r="53" ht="12.75">
      <c r="C53" s="98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96" bottom="0.75" header="0.5" footer="0.5"/>
  <pageSetup fitToHeight="1" fitToWidth="1" horizontalDpi="600" verticalDpi="600" orientation="portrait" scale="84" r:id="rId1"/>
  <headerFooter alignWithMargins="0">
    <oddHeader>&amp;L&amp;"Arial,Italic"&amp;11NOTE: This table requires no 'fill-in' as it automatically populates from Tables 4B, 5A and 5B.</oddHeader>
    <oddFooter>&amp;L&amp;D
Health Care Administration&amp;R&amp;F,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19">
      <selection activeCell="C9" sqref="C9:K9"/>
    </sheetView>
  </sheetViews>
  <sheetFormatPr defaultColWidth="9.140625" defaultRowHeight="12.75"/>
  <cols>
    <col min="1" max="1" width="37.7109375" style="0" customWidth="1"/>
    <col min="2" max="2" width="3.8515625" style="0" customWidth="1"/>
    <col min="3" max="3" width="14.8515625" style="0" customWidth="1"/>
    <col min="4" max="4" width="1.8515625" style="0" customWidth="1"/>
    <col min="5" max="5" width="14.8515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4.8515625" style="0" customWidth="1"/>
  </cols>
  <sheetData>
    <row r="1" spans="1:11" ht="15.75">
      <c r="A1" s="192" t="str">
        <f>'Table 1'!A1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147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3:11" ht="15.75" customHeight="1"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5.75" customHeight="1">
      <c r="C9" s="180"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3:11" ht="15.75" customHeight="1">
      <c r="C10" s="22"/>
      <c r="D10" s="23"/>
      <c r="E10" s="17"/>
      <c r="F10" s="23"/>
      <c r="G10" s="17"/>
      <c r="H10" s="23"/>
      <c r="I10" s="17"/>
      <c r="J10" s="23"/>
      <c r="K10" s="17"/>
    </row>
    <row r="11" spans="1:11" ht="15.75" customHeight="1" thickBot="1">
      <c r="A11" s="1" t="s">
        <v>148</v>
      </c>
      <c r="B11" s="25"/>
      <c r="C11" s="78">
        <f>'Table 5A'!C11+'Table 5B'!C11</f>
        <v>12567476</v>
      </c>
      <c r="D11" s="77"/>
      <c r="E11" s="78">
        <f>'Table 5A'!E11+'Table 5B'!E11</f>
        <v>12567476.37714287</v>
      </c>
      <c r="F11" s="77"/>
      <c r="G11" s="78">
        <f>'Table 5A'!G11+'Table 5B'!G11</f>
        <v>12567476.647142868</v>
      </c>
      <c r="H11" s="77"/>
      <c r="I11" s="78">
        <f>'Table 5A'!I11+'Table 5B'!I11</f>
        <v>12756592.06714287</v>
      </c>
      <c r="J11" s="77"/>
      <c r="K11" s="78">
        <f>'Table 5A'!K11+'Table 5B'!K11</f>
        <v>12956592.06714287</v>
      </c>
    </row>
    <row r="12" spans="1:11" ht="15.75" customHeight="1">
      <c r="A12" s="66" t="s">
        <v>149</v>
      </c>
      <c r="B12" s="25"/>
      <c r="C12" s="92"/>
      <c r="D12" s="72"/>
      <c r="E12" s="71"/>
      <c r="F12" s="72"/>
      <c r="G12" s="71"/>
      <c r="H12" s="72"/>
      <c r="I12" s="71"/>
      <c r="J12" s="72"/>
      <c r="K12" s="71"/>
    </row>
    <row r="13" spans="1:11" ht="15.75" customHeight="1">
      <c r="A13" s="65" t="s">
        <v>150</v>
      </c>
      <c r="C13" s="64">
        <f>'Table 5A'!C13+'Table 5B'!C13</f>
        <v>2659656.7200000137</v>
      </c>
      <c r="D13" s="72"/>
      <c r="E13" s="30">
        <f>'Table 5A'!E13+'Table 5B'!E13</f>
        <v>264962.41714285314</v>
      </c>
      <c r="F13" s="72"/>
      <c r="G13" s="30">
        <f>'Table 5A'!G13+'Table 5B'!G13</f>
        <v>163207.2507428527</v>
      </c>
      <c r="H13" s="72"/>
      <c r="I13" s="30">
        <f>'Table 5A'!I13+'Table 5B'!I13</f>
        <v>168103.46826513857</v>
      </c>
      <c r="J13" s="72"/>
      <c r="K13" s="30">
        <f>'Table 5A'!K13+'Table 5B'!K13</f>
        <v>173146.57231309265</v>
      </c>
    </row>
    <row r="14" spans="1:11" ht="15.75" customHeight="1">
      <c r="A14" s="65" t="s">
        <v>151</v>
      </c>
      <c r="C14" s="64">
        <f>'Table 5A'!C14+'Table 5B'!C14</f>
        <v>880385.6571428571</v>
      </c>
      <c r="D14" s="72"/>
      <c r="E14" s="30">
        <f>'Table 5A'!E14+'Table 5B'!E14</f>
        <v>801472.2000000001</v>
      </c>
      <c r="F14" s="72"/>
      <c r="G14" s="30">
        <f>'Table 5A'!G14+'Table 5B'!G14</f>
        <v>875516.366</v>
      </c>
      <c r="H14" s="72"/>
      <c r="I14" s="30">
        <f>'Table 5A'!I14+'Table 5B'!I14</f>
        <v>901781.85698</v>
      </c>
      <c r="J14" s="72"/>
      <c r="K14" s="30">
        <f>'Table 5A'!K14+'Table 5B'!K14</f>
        <v>928835.3126894</v>
      </c>
    </row>
    <row r="15" spans="1:11" ht="15.75" customHeight="1">
      <c r="A15" s="65" t="s">
        <v>152</v>
      </c>
      <c r="C15" s="64">
        <f>'Table 5A'!C15+'Table 5B'!C15</f>
        <v>198000</v>
      </c>
      <c r="D15" s="72"/>
      <c r="E15" s="64">
        <f>'Table 5A'!E15+'Table 5B'!E15</f>
        <v>200000</v>
      </c>
      <c r="F15" s="73"/>
      <c r="G15" s="64">
        <f>'Table 5A'!G15+'Table 5B'!G15</f>
        <v>0</v>
      </c>
      <c r="H15" s="73"/>
      <c r="I15" s="64">
        <f>'Table 5A'!I15+'Table 5B'!I15</f>
        <v>0</v>
      </c>
      <c r="J15" s="73"/>
      <c r="K15" s="64">
        <f>'Table 5A'!K15+'Table 5B'!K15</f>
        <v>0</v>
      </c>
    </row>
    <row r="16" spans="1:11" ht="15.75" customHeight="1">
      <c r="A16" s="65" t="s">
        <v>153</v>
      </c>
      <c r="C16" s="68">
        <f>'Table 5A'!C16+'Table 5B'!C16</f>
        <v>-105208</v>
      </c>
      <c r="D16" s="74"/>
      <c r="E16" s="68">
        <f>'Table 5A'!E16+'Table 5B'!E16</f>
        <v>-95000</v>
      </c>
      <c r="F16" s="75"/>
      <c r="G16" s="68">
        <f>'Table 5A'!G16+'Table 5B'!G16</f>
        <v>275000</v>
      </c>
      <c r="H16" s="75"/>
      <c r="I16" s="68">
        <f>'Table 5A'!I16+'Table 5B'!I16</f>
        <v>20000</v>
      </c>
      <c r="J16" s="75"/>
      <c r="K16" s="68">
        <f>'Table 5A'!K16+'Table 5B'!K16</f>
        <v>90000</v>
      </c>
    </row>
    <row r="17" spans="1:11" ht="15.75" customHeight="1" thickBot="1">
      <c r="A17" s="66" t="s">
        <v>154</v>
      </c>
      <c r="B17" s="25"/>
      <c r="C17" s="79">
        <f>SUM(C13:C16)</f>
        <v>3632834.377142871</v>
      </c>
      <c r="D17" s="80"/>
      <c r="E17" s="79">
        <f>SUM(E13:E16)</f>
        <v>1171434.6171428533</v>
      </c>
      <c r="F17" s="80"/>
      <c r="G17" s="79">
        <f>SUM(G13:G16)</f>
        <v>1313723.6167428526</v>
      </c>
      <c r="H17" s="80"/>
      <c r="I17" s="79">
        <f>SUM(I13:I16)</f>
        <v>1089885.3252451387</v>
      </c>
      <c r="J17" s="80"/>
      <c r="K17" s="79">
        <f>SUM(K13:K16)</f>
        <v>1191981.8850024927</v>
      </c>
    </row>
    <row r="18" spans="1:11" ht="15.75" customHeight="1">
      <c r="A18" s="1"/>
      <c r="B18" s="25"/>
      <c r="C18" s="92"/>
      <c r="D18" s="72"/>
      <c r="E18" s="71"/>
      <c r="F18" s="72"/>
      <c r="G18" s="71"/>
      <c r="H18" s="72"/>
      <c r="I18" s="71"/>
      <c r="J18" s="72"/>
      <c r="K18" s="71"/>
    </row>
    <row r="19" spans="1:11" ht="15.75" customHeight="1">
      <c r="A19" s="66" t="s">
        <v>155</v>
      </c>
      <c r="B19" s="25"/>
      <c r="C19" s="64"/>
      <c r="D19" s="30"/>
      <c r="E19" s="30"/>
      <c r="F19" s="30"/>
      <c r="G19" s="30"/>
      <c r="H19" s="30"/>
      <c r="I19" s="30"/>
      <c r="J19" s="30"/>
      <c r="K19" s="30"/>
    </row>
    <row r="20" spans="1:11" ht="15.75" customHeight="1">
      <c r="A20" s="65" t="s">
        <v>156</v>
      </c>
      <c r="B20" s="25"/>
      <c r="C20" s="93"/>
      <c r="D20" s="70"/>
      <c r="E20" s="70"/>
      <c r="F20" s="70"/>
      <c r="G20" s="70"/>
      <c r="H20" s="70"/>
      <c r="I20" s="70"/>
      <c r="J20" s="70"/>
      <c r="K20" s="70"/>
    </row>
    <row r="21" spans="1:11" ht="15.75" customHeight="1">
      <c r="A21" s="67" t="s">
        <v>157</v>
      </c>
      <c r="C21" s="64">
        <f>'Table 5A'!C21+'Table 5B'!C21</f>
        <v>0</v>
      </c>
      <c r="D21" s="72"/>
      <c r="E21" s="30">
        <f>'Table 5A'!E21+'Table 5B'!E21</f>
        <v>0</v>
      </c>
      <c r="F21" s="72"/>
      <c r="G21" s="30">
        <f>'Table 5A'!G21+'Table 5B'!G21</f>
        <v>0</v>
      </c>
      <c r="H21" s="72"/>
      <c r="I21" s="30">
        <f>'Table 5A'!I21+'Table 5B'!I21</f>
        <v>0</v>
      </c>
      <c r="J21" s="72"/>
      <c r="K21" s="30">
        <f>'Table 5A'!K21+'Table 5B'!K21</f>
        <v>0</v>
      </c>
    </row>
    <row r="22" spans="1:11" ht="15.75" customHeight="1">
      <c r="A22" s="67" t="s">
        <v>158</v>
      </c>
      <c r="C22" s="64">
        <f>'Table 5A'!C22+'Table 5B'!C22</f>
        <v>0</v>
      </c>
      <c r="D22" s="72"/>
      <c r="E22" s="30">
        <f>'Table 5A'!E22+'Table 5B'!E22</f>
        <v>0</v>
      </c>
      <c r="F22" s="72"/>
      <c r="G22" s="30">
        <f>'Table 5A'!G22+'Table 5B'!G22</f>
        <v>0</v>
      </c>
      <c r="H22" s="72"/>
      <c r="I22" s="30">
        <f>'Table 5A'!I22+'Table 5B'!I22</f>
        <v>0</v>
      </c>
      <c r="J22" s="72"/>
      <c r="K22" s="30">
        <f>'Table 5A'!K22+'Table 5B'!K22</f>
        <v>0</v>
      </c>
    </row>
    <row r="23" spans="1:11" ht="15.75" customHeight="1">
      <c r="A23" s="67" t="s">
        <v>159</v>
      </c>
      <c r="C23" s="92">
        <f>'Table 5A'!C23+'Table 5B'!C23</f>
        <v>-908558</v>
      </c>
      <c r="D23" s="72"/>
      <c r="E23" s="71">
        <f>'Table 5A'!E23+'Table 5B'!E23</f>
        <v>-406471.92000000074</v>
      </c>
      <c r="F23" s="72"/>
      <c r="G23" s="71">
        <f>'Table 5A'!G23+'Table 5B'!G23</f>
        <v>-668516.366</v>
      </c>
      <c r="H23" s="72"/>
      <c r="I23" s="71">
        <f>'Table 5A'!I23+'Table 5B'!I23</f>
        <v>-694781.85698</v>
      </c>
      <c r="J23" s="72"/>
      <c r="K23" s="71">
        <f>'Table 5A'!K23+'Table 5B'!K23</f>
        <v>-711835.3126894</v>
      </c>
    </row>
    <row r="24" spans="1:11" ht="15.75" customHeight="1">
      <c r="A24" s="67" t="s">
        <v>160</v>
      </c>
      <c r="C24" s="94">
        <f>'Table 5A'!C24+'Table 5B'!C24</f>
        <v>-2215707</v>
      </c>
      <c r="D24" s="74"/>
      <c r="E24" s="76">
        <f>'Table 5A'!E24+'Table 5B'!E24</f>
        <v>-3000000.280000001</v>
      </c>
      <c r="F24" s="74"/>
      <c r="G24" s="76">
        <f>'Table 5A'!G24+'Table 5B'!G24</f>
        <v>-250000</v>
      </c>
      <c r="H24" s="74"/>
      <c r="I24" s="76">
        <f>'Table 5A'!I24+'Table 5B'!I24</f>
        <v>-100000</v>
      </c>
      <c r="J24" s="74"/>
      <c r="K24" s="76">
        <f>'Table 5A'!K24+'Table 5B'!K24</f>
        <v>-100000</v>
      </c>
    </row>
    <row r="25" spans="1:11" ht="15.75" customHeight="1">
      <c r="A25" s="67" t="s">
        <v>161</v>
      </c>
      <c r="C25" s="81">
        <f>SUM(C21:C24)</f>
        <v>-3124265</v>
      </c>
      <c r="D25" s="82"/>
      <c r="E25" s="81">
        <f>SUM(E21:E24)</f>
        <v>-3406472.200000002</v>
      </c>
      <c r="F25" s="82"/>
      <c r="G25" s="81">
        <f>SUM(G21:G24)</f>
        <v>-918516.366</v>
      </c>
      <c r="H25" s="82"/>
      <c r="I25" s="81">
        <f>SUM(I21:I24)</f>
        <v>-794781.85698</v>
      </c>
      <c r="J25" s="82"/>
      <c r="K25" s="81">
        <f>SUM(K21:K24)</f>
        <v>-811835.3126894</v>
      </c>
    </row>
    <row r="26" spans="1:11" ht="15.75" customHeight="1">
      <c r="A26" s="66"/>
      <c r="B26" s="25"/>
      <c r="C26" s="64"/>
      <c r="D26" s="72"/>
      <c r="E26" s="30"/>
      <c r="F26" s="72"/>
      <c r="G26" s="30"/>
      <c r="H26" s="72"/>
      <c r="I26" s="30"/>
      <c r="J26" s="72"/>
      <c r="K26" s="30"/>
    </row>
    <row r="27" spans="1:11" ht="15.75" customHeight="1">
      <c r="A27" s="65" t="s">
        <v>162</v>
      </c>
      <c r="B27" s="25"/>
      <c r="C27" s="92"/>
      <c r="D27" s="72"/>
      <c r="E27" s="71"/>
      <c r="F27" s="72"/>
      <c r="G27" s="71"/>
      <c r="H27" s="72"/>
      <c r="I27" s="71"/>
      <c r="J27" s="72"/>
      <c r="K27" s="71"/>
    </row>
    <row r="28" spans="1:11" ht="15.75" customHeight="1">
      <c r="A28" s="67" t="s">
        <v>41</v>
      </c>
      <c r="C28" s="93">
        <f>'Table 5A'!C28+'Table 5B'!C28</f>
        <v>0</v>
      </c>
      <c r="D28" s="72"/>
      <c r="E28" s="71">
        <f>'Table 5A'!E28+'Table 5B'!E28</f>
        <v>0</v>
      </c>
      <c r="F28" s="72"/>
      <c r="G28" s="71">
        <f>'Table 5A'!G28+'Table 5B'!G28</f>
        <v>0</v>
      </c>
      <c r="H28" s="72"/>
      <c r="I28" s="71">
        <f>'Table 5A'!I28+'Table 5B'!I28</f>
        <v>0</v>
      </c>
      <c r="J28" s="72"/>
      <c r="K28" s="71">
        <f>'Table 5A'!K28+'Table 5B'!K28</f>
        <v>0</v>
      </c>
    </row>
    <row r="29" spans="1:12" ht="15.75" customHeight="1">
      <c r="A29" s="67" t="s">
        <v>163</v>
      </c>
      <c r="C29" s="93">
        <f>'Table 5A'!C29+'Table 5B'!C29</f>
        <v>-108873</v>
      </c>
      <c r="D29" s="12"/>
      <c r="E29" s="12">
        <f>'Table 5A'!E29+'Table 5B'!E29</f>
        <v>2000000.27</v>
      </c>
      <c r="F29" s="12"/>
      <c r="G29" s="12">
        <f>'Table 5A'!G29+'Table 5B'!G29</f>
        <v>-67000</v>
      </c>
      <c r="H29" s="12"/>
      <c r="I29" s="12">
        <f>'Table 5A'!I29+'Table 5B'!I29</f>
        <v>-67000</v>
      </c>
      <c r="J29" s="12"/>
      <c r="K29" s="12">
        <f>'Table 5A'!K29+'Table 5B'!K29</f>
        <v>-67000</v>
      </c>
      <c r="L29" s="25"/>
    </row>
    <row r="30" spans="1:11" ht="15.75" customHeight="1">
      <c r="A30" s="67" t="s">
        <v>164</v>
      </c>
      <c r="C30" s="81">
        <f>SUM(C28:C29)</f>
        <v>-108873</v>
      </c>
      <c r="D30" s="83"/>
      <c r="E30" s="81">
        <f>SUM(E28:E29)</f>
        <v>2000000.27</v>
      </c>
      <c r="F30" s="83"/>
      <c r="G30" s="81">
        <f>SUM(G28:G29)</f>
        <v>-67000</v>
      </c>
      <c r="H30" s="83"/>
      <c r="I30" s="81">
        <f>SUM(I28:I29)</f>
        <v>-67000</v>
      </c>
      <c r="J30" s="83"/>
      <c r="K30" s="81">
        <f>SUM(K28:K29)</f>
        <v>-67000</v>
      </c>
    </row>
    <row r="31" spans="1:11" ht="15.75" customHeight="1">
      <c r="A31" s="1"/>
      <c r="B31" s="25"/>
      <c r="C31" s="92"/>
      <c r="D31" s="72"/>
      <c r="E31" s="71"/>
      <c r="F31" s="72"/>
      <c r="G31" s="71"/>
      <c r="H31" s="72"/>
      <c r="I31" s="71"/>
      <c r="J31" s="72"/>
      <c r="K31" s="71"/>
    </row>
    <row r="32" spans="1:11" ht="15.75" customHeight="1" thickBot="1">
      <c r="A32" s="66" t="s">
        <v>165</v>
      </c>
      <c r="B32" s="25"/>
      <c r="C32" s="84">
        <f>C25+C30</f>
        <v>-3233138</v>
      </c>
      <c r="D32" s="85"/>
      <c r="E32" s="84">
        <f>E25+E30</f>
        <v>-1406471.930000002</v>
      </c>
      <c r="F32" s="85"/>
      <c r="G32" s="84">
        <f>G25+G30</f>
        <v>-985516.366</v>
      </c>
      <c r="H32" s="85"/>
      <c r="I32" s="84">
        <f>I25+I30</f>
        <v>-861781.85698</v>
      </c>
      <c r="J32" s="85"/>
      <c r="K32" s="84">
        <f>K25+K30</f>
        <v>-878835.3126894</v>
      </c>
    </row>
    <row r="33" spans="1:11" ht="15.75" customHeight="1">
      <c r="A33" s="66"/>
      <c r="B33" s="25"/>
      <c r="C33" s="64"/>
      <c r="D33" s="72"/>
      <c r="E33" s="30"/>
      <c r="F33" s="72"/>
      <c r="G33" s="30"/>
      <c r="H33" s="72"/>
      <c r="I33" s="30"/>
      <c r="J33" s="72"/>
      <c r="K33" s="30"/>
    </row>
    <row r="34" spans="1:11" ht="15.75" customHeight="1">
      <c r="A34" s="66" t="s">
        <v>166</v>
      </c>
      <c r="B34" s="25"/>
      <c r="C34" s="64"/>
      <c r="D34" s="72"/>
      <c r="E34" s="30"/>
      <c r="F34" s="72"/>
      <c r="G34" s="30"/>
      <c r="H34" s="72"/>
      <c r="I34" s="30"/>
      <c r="J34" s="72"/>
      <c r="K34" s="30"/>
    </row>
    <row r="35" spans="1:11" ht="15.75" customHeight="1">
      <c r="A35" s="65" t="s">
        <v>167</v>
      </c>
      <c r="B35" s="25"/>
      <c r="C35" s="64"/>
      <c r="D35" s="72"/>
      <c r="E35" s="30"/>
      <c r="F35" s="72"/>
      <c r="G35" s="30"/>
      <c r="H35" s="72"/>
      <c r="I35" s="30"/>
      <c r="J35" s="72"/>
      <c r="K35" s="30"/>
    </row>
    <row r="36" spans="1:11" ht="15.75" customHeight="1">
      <c r="A36" s="67" t="s">
        <v>168</v>
      </c>
      <c r="C36" s="64">
        <f>'Table 5A'!C36+'Table 5B'!C36</f>
        <v>0</v>
      </c>
      <c r="D36" s="72"/>
      <c r="E36" s="30">
        <f>'Table 5A'!E36+'Table 5B'!E36</f>
        <v>500000</v>
      </c>
      <c r="F36" s="72"/>
      <c r="G36" s="30">
        <f>'Table 5A'!G36+'Table 5B'!G36</f>
        <v>-25000</v>
      </c>
      <c r="H36" s="72"/>
      <c r="I36" s="30">
        <f>'Table 5A'!I36+'Table 5B'!I36</f>
        <v>-25000</v>
      </c>
      <c r="J36" s="72"/>
      <c r="K36" s="30">
        <f>'Table 5A'!K36+'Table 5B'!K36</f>
        <v>-25000</v>
      </c>
    </row>
    <row r="37" spans="1:11" ht="15.75" customHeight="1">
      <c r="A37" s="67" t="s">
        <v>169</v>
      </c>
      <c r="C37" s="64">
        <f>'Table 5A'!C37+'Table 5B'!C37</f>
        <v>0</v>
      </c>
      <c r="D37" s="72"/>
      <c r="E37" s="30">
        <f>'Table 5A'!E37+'Table 5B'!E37</f>
        <v>0</v>
      </c>
      <c r="F37" s="72"/>
      <c r="G37" s="30">
        <f>'Table 5A'!G37+'Table 5B'!G37</f>
        <v>0</v>
      </c>
      <c r="H37" s="72"/>
      <c r="I37" s="30">
        <f>'Table 5A'!I37+'Table 5B'!I37</f>
        <v>0</v>
      </c>
      <c r="J37" s="72"/>
      <c r="K37" s="30">
        <f>'Table 5A'!K37+'Table 5B'!K37</f>
        <v>0</v>
      </c>
    </row>
    <row r="38" spans="1:11" ht="15.75" customHeight="1" thickBot="1">
      <c r="A38" s="67" t="s">
        <v>170</v>
      </c>
      <c r="C38" s="95">
        <f>'Table 5A'!C38+'Table 5B'!C38</f>
        <v>-107500</v>
      </c>
      <c r="D38" s="69"/>
      <c r="E38" s="69">
        <f>'Table 5A'!E38+'Table 5B'!E38</f>
        <v>0</v>
      </c>
      <c r="F38" s="69"/>
      <c r="G38" s="69">
        <f>'Table 5A'!G38+'Table 5B'!G38</f>
        <v>0</v>
      </c>
      <c r="H38" s="69"/>
      <c r="I38" s="69">
        <f>'Table 5A'!I38+'Table 5B'!I38</f>
        <v>0</v>
      </c>
      <c r="J38" s="69"/>
      <c r="K38" s="69">
        <f>'Table 5A'!K38+'Table 5B'!K38</f>
        <v>0</v>
      </c>
    </row>
    <row r="39" spans="1:11" ht="15.75" customHeight="1">
      <c r="A39" s="66" t="s">
        <v>171</v>
      </c>
      <c r="B39" s="25"/>
      <c r="C39" s="86">
        <f>SUM(C36:C38)</f>
        <v>-107500</v>
      </c>
      <c r="D39" s="87"/>
      <c r="E39" s="86">
        <f>SUM(E36:E38)</f>
        <v>500000</v>
      </c>
      <c r="F39" s="87"/>
      <c r="G39" s="86">
        <f>SUM(G36:G38)</f>
        <v>-25000</v>
      </c>
      <c r="H39" s="87"/>
      <c r="I39" s="86">
        <f>SUM(I36:I38)</f>
        <v>-25000</v>
      </c>
      <c r="J39" s="87"/>
      <c r="K39" s="86">
        <f>SUM(K36:K38)</f>
        <v>-25000</v>
      </c>
    </row>
    <row r="40" spans="1:11" ht="15.75" customHeight="1">
      <c r="A40" s="66"/>
      <c r="B40" s="25"/>
      <c r="C40" s="64"/>
      <c r="D40" s="72"/>
      <c r="E40" s="30"/>
      <c r="F40" s="72"/>
      <c r="G40" s="30"/>
      <c r="H40" s="72"/>
      <c r="I40" s="30"/>
      <c r="J40" s="72"/>
      <c r="K40" s="30"/>
    </row>
    <row r="41" spans="1:11" ht="15.75" customHeight="1">
      <c r="A41" s="66" t="s">
        <v>172</v>
      </c>
      <c r="B41" s="25"/>
      <c r="C41" s="92"/>
      <c r="D41" s="72"/>
      <c r="E41" s="71"/>
      <c r="F41" s="72"/>
      <c r="G41" s="71"/>
      <c r="H41" s="72"/>
      <c r="I41" s="71"/>
      <c r="J41" s="72"/>
      <c r="K41" s="71"/>
    </row>
    <row r="42" spans="1:11" ht="15.75" customHeight="1">
      <c r="A42" s="65" t="s">
        <v>173</v>
      </c>
      <c r="C42" s="64">
        <f>'Table 5A'!C42+'Table 5B'!C42</f>
        <v>0</v>
      </c>
      <c r="D42" s="72"/>
      <c r="E42" s="30">
        <f>'Table 5A'!E42+'Table 5B'!E42</f>
        <v>0</v>
      </c>
      <c r="F42" s="72"/>
      <c r="G42" s="30">
        <f>'Table 5A'!G42+'Table 5B'!G42</f>
        <v>0</v>
      </c>
      <c r="H42" s="72"/>
      <c r="I42" s="30">
        <f>'Table 5A'!I42+'Table 5B'!I42</f>
        <v>0</v>
      </c>
      <c r="J42" s="72"/>
      <c r="K42" s="30">
        <f>'Table 5A'!K42+'Table 5B'!K42</f>
        <v>0</v>
      </c>
    </row>
    <row r="43" spans="1:11" ht="15.75" customHeight="1">
      <c r="A43" s="65" t="s">
        <v>21</v>
      </c>
      <c r="C43" s="64">
        <f>'Table 5A'!C43+'Table 5B'!C43</f>
        <v>0</v>
      </c>
      <c r="D43" s="72"/>
      <c r="E43" s="30">
        <f>'Table 5A'!E43+'Table 5B'!E43</f>
        <v>0</v>
      </c>
      <c r="F43" s="72"/>
      <c r="G43" s="30">
        <f>'Table 5A'!G43+'Table 5B'!G43</f>
        <v>0</v>
      </c>
      <c r="H43" s="72"/>
      <c r="I43" s="30">
        <f>'Table 5A'!I43+'Table 5B'!I43</f>
        <v>0</v>
      </c>
      <c r="J43" s="72"/>
      <c r="K43" s="30">
        <f>'Table 5A'!K43+'Table 5B'!K43</f>
        <v>0</v>
      </c>
    </row>
    <row r="44" spans="1:11" ht="15.75" customHeight="1">
      <c r="A44" s="65" t="s">
        <v>174</v>
      </c>
      <c r="C44" s="64">
        <f>'Table 5A'!C44+'Table 5B'!C44</f>
        <v>-292196</v>
      </c>
      <c r="D44" s="72"/>
      <c r="E44" s="30">
        <f>'Table 5A'!E44+'Table 5B'!E44</f>
        <v>-264962.41714285314</v>
      </c>
      <c r="F44" s="72"/>
      <c r="G44" s="30">
        <f>'Table 5A'!G44+'Table 5B'!G44</f>
        <v>-114091.8307428509</v>
      </c>
      <c r="H44" s="72"/>
      <c r="I44" s="30">
        <f>'Table 5A'!I44+'Table 5B'!I44</f>
        <v>-3103.4682651385665</v>
      </c>
      <c r="J44" s="72"/>
      <c r="K44" s="30">
        <f>'Table 5A'!K44+'Table 5B'!K44</f>
        <v>-63146.57231309265</v>
      </c>
    </row>
    <row r="45" spans="1:11" ht="15.75" customHeight="1">
      <c r="A45" s="65" t="s">
        <v>21</v>
      </c>
      <c r="C45" s="94">
        <f>'Table 5A'!C45+'Table 5B'!C45</f>
        <v>0</v>
      </c>
      <c r="D45" s="74"/>
      <c r="E45" s="76">
        <f>'Table 5A'!E45+'Table 5B'!E45</f>
        <v>0</v>
      </c>
      <c r="F45" s="74"/>
      <c r="G45" s="76">
        <f>'Table 5A'!G45+'Table 5B'!G45</f>
        <v>0</v>
      </c>
      <c r="H45" s="74"/>
      <c r="I45" s="76">
        <f>'Table 5A'!I45+'Table 5B'!I45</f>
        <v>0</v>
      </c>
      <c r="J45" s="74"/>
      <c r="K45" s="76">
        <f>'Table 5A'!K45+'Table 5B'!K45</f>
        <v>0</v>
      </c>
    </row>
    <row r="46" spans="1:11" ht="15.75" customHeight="1" thickBot="1">
      <c r="A46" s="66" t="s">
        <v>175</v>
      </c>
      <c r="B46" s="25"/>
      <c r="C46" s="79">
        <f>SUM(C42:C45)</f>
        <v>-292196</v>
      </c>
      <c r="D46" s="79"/>
      <c r="E46" s="79">
        <f>SUM(E42:E45)</f>
        <v>-264962.41714285314</v>
      </c>
      <c r="F46" s="79"/>
      <c r="G46" s="79">
        <f>SUM(G42:G45)</f>
        <v>-114091.8307428509</v>
      </c>
      <c r="H46" s="79"/>
      <c r="I46" s="79">
        <f>SUM(I42:I45)</f>
        <v>-3103.4682651385665</v>
      </c>
      <c r="J46" s="79"/>
      <c r="K46" s="79">
        <f>SUM(K42:K45)</f>
        <v>-63146.57231309265</v>
      </c>
    </row>
    <row r="47" spans="1:11" ht="15.75" customHeight="1">
      <c r="A47" s="1"/>
      <c r="B47" s="25"/>
      <c r="C47" s="96"/>
      <c r="D47" s="88"/>
      <c r="E47" s="88"/>
      <c r="F47" s="89"/>
      <c r="G47" s="88"/>
      <c r="H47" s="89"/>
      <c r="I47" s="88"/>
      <c r="J47" s="89"/>
      <c r="K47" s="88"/>
    </row>
    <row r="48" spans="1:11" ht="15.75" customHeight="1" thickBot="1">
      <c r="A48" s="1" t="s">
        <v>176</v>
      </c>
      <c r="B48" s="25"/>
      <c r="C48" s="84">
        <f>C17+C32+C39+C46</f>
        <v>0.377142870798707</v>
      </c>
      <c r="D48" s="84"/>
      <c r="E48" s="84">
        <f>E17+E32+E39+E46</f>
        <v>0.2699999981559813</v>
      </c>
      <c r="F48" s="84"/>
      <c r="G48" s="84">
        <f>G17+G32+G39+G46</f>
        <v>189115.42000000167</v>
      </c>
      <c r="H48" s="84"/>
      <c r="I48" s="84">
        <f>I17+I32+I39+I46</f>
        <v>200000.00000000012</v>
      </c>
      <c r="J48" s="84"/>
      <c r="K48" s="84">
        <f>K17+K32+K39+K46</f>
        <v>225000</v>
      </c>
    </row>
    <row r="49" spans="1:11" ht="12.75">
      <c r="A49" s="1"/>
      <c r="B49" s="25"/>
      <c r="C49" s="96"/>
      <c r="D49" s="88"/>
      <c r="E49" s="88"/>
      <c r="F49" s="89"/>
      <c r="G49" s="88"/>
      <c r="H49" s="89"/>
      <c r="I49" s="88"/>
      <c r="J49" s="89"/>
      <c r="K49" s="88"/>
    </row>
    <row r="50" spans="1:11" ht="13.5" thickBot="1">
      <c r="A50" s="1" t="s">
        <v>177</v>
      </c>
      <c r="C50" s="90">
        <f>C11+C48</f>
        <v>12567476.37714287</v>
      </c>
      <c r="D50" s="90"/>
      <c r="E50" s="90">
        <f>E11+E48</f>
        <v>12567476.647142868</v>
      </c>
      <c r="F50" s="90"/>
      <c r="G50" s="90">
        <f>G11+G48</f>
        <v>12756592.06714287</v>
      </c>
      <c r="H50" s="90"/>
      <c r="I50" s="90">
        <f>I11+I48</f>
        <v>12956592.06714287</v>
      </c>
      <c r="J50" s="90"/>
      <c r="K50" s="90">
        <f>K11+K48</f>
        <v>13181592.06714287</v>
      </c>
    </row>
    <row r="51" spans="3:11" ht="13.5" thickTop="1">
      <c r="C51" s="93"/>
      <c r="D51" s="70"/>
      <c r="E51" s="70"/>
      <c r="F51" s="70"/>
      <c r="G51" s="70"/>
      <c r="H51" s="11"/>
      <c r="I51" s="70"/>
      <c r="J51" s="70"/>
      <c r="K51" s="70"/>
    </row>
    <row r="52" spans="1:11" ht="12.75">
      <c r="A52" s="1" t="s">
        <v>178</v>
      </c>
      <c r="C52" s="88">
        <f>C50-'Table 4C'!C11</f>
        <v>0.377142870798707</v>
      </c>
      <c r="D52" s="91"/>
      <c r="E52" s="88">
        <f>E50-'Table 4C'!E11</f>
        <v>0.647142868489027</v>
      </c>
      <c r="F52" s="91"/>
      <c r="G52" s="88">
        <f>G50-'Table 4C'!G11</f>
        <v>1.0671428702771664</v>
      </c>
      <c r="H52" s="91"/>
      <c r="I52" s="88">
        <f>I50-'Table 4C'!I11</f>
        <v>1.0671428702771664</v>
      </c>
      <c r="J52" s="91"/>
      <c r="K52" s="88">
        <f>K50-'Table 4C'!K11</f>
        <v>1.0671428702771664</v>
      </c>
    </row>
    <row r="53" ht="12.75">
      <c r="C53" s="98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7" bottom="0.75" header="0.5" footer="0.5"/>
  <pageSetup fitToHeight="1" fitToWidth="1" horizontalDpi="600" verticalDpi="600" orientation="portrait" scale="84" r:id="rId1"/>
  <headerFooter alignWithMargins="0">
    <oddHeader>&amp;L&amp;11NOTE: This table requires no 'fill-in' as it is populated automatically from Tables 5A &amp;&amp; 5B.</oddHeader>
    <oddFooter>&amp;L&amp;D
Health Care Administration&amp;R&amp;F,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zoomScalePageLayoutView="0" workbookViewId="0" topLeftCell="A7">
      <selection activeCell="E32" sqref="E32"/>
    </sheetView>
  </sheetViews>
  <sheetFormatPr defaultColWidth="9.140625" defaultRowHeight="12.75"/>
  <cols>
    <col min="1" max="1" width="8.00390625" style="0" customWidth="1"/>
    <col min="2" max="2" width="7.8515625" style="0" customWidth="1"/>
    <col min="3" max="3" width="36.57421875" style="0" customWidth="1"/>
    <col min="4" max="4" width="2.8515625" style="0" customWidth="1"/>
    <col min="5" max="5" width="16.8515625" style="0" customWidth="1"/>
    <col min="6" max="6" width="4.7109375" style="0" customWidth="1"/>
    <col min="8" max="8" width="14.7109375" style="0" customWidth="1"/>
  </cols>
  <sheetData>
    <row r="1" spans="1:6" s="126" customFormat="1" ht="15">
      <c r="A1" s="194" t="str">
        <f>List!A1</f>
        <v>Northeast Kingdom Human Services</v>
      </c>
      <c r="B1" s="194"/>
      <c r="C1" s="194"/>
      <c r="D1" s="194"/>
      <c r="E1" s="194"/>
      <c r="F1" s="194"/>
    </row>
    <row r="2" spans="1:6" s="126" customFormat="1" ht="15">
      <c r="A2" s="194" t="str">
        <f>List!A2</f>
        <v>Front Porch Residential Facility</v>
      </c>
      <c r="B2" s="194"/>
      <c r="C2" s="194"/>
      <c r="D2" s="194"/>
      <c r="E2" s="194"/>
      <c r="F2" s="194"/>
    </row>
    <row r="3" spans="1:6" s="126" customFormat="1" ht="14.25">
      <c r="A3" s="195" t="s">
        <v>4</v>
      </c>
      <c r="B3" s="195"/>
      <c r="C3" s="195"/>
      <c r="D3" s="195"/>
      <c r="E3" s="195"/>
      <c r="F3" s="195"/>
    </row>
    <row r="4" spans="1:6" s="126" customFormat="1" ht="14.25">
      <c r="A4" s="195" t="s">
        <v>143</v>
      </c>
      <c r="B4" s="195"/>
      <c r="C4" s="195"/>
      <c r="D4" s="195"/>
      <c r="E4" s="195"/>
      <c r="F4" s="195"/>
    </row>
    <row r="5" spans="1:6" ht="6.75" customHeight="1">
      <c r="A5" s="192"/>
      <c r="B5" s="192"/>
      <c r="C5" s="192"/>
      <c r="D5" s="192"/>
      <c r="E5" s="192"/>
      <c r="F5" s="192"/>
    </row>
    <row r="8" spans="1:5" ht="15.75">
      <c r="A8" s="47" t="s">
        <v>5</v>
      </c>
      <c r="B8" s="48"/>
      <c r="C8" s="48"/>
      <c r="D8" s="48"/>
      <c r="E8" s="49"/>
    </row>
    <row r="9" spans="1:5" ht="15">
      <c r="A9" s="50" t="s">
        <v>43</v>
      </c>
      <c r="B9" s="51" t="s">
        <v>6</v>
      </c>
      <c r="C9" s="52"/>
      <c r="D9" s="52"/>
      <c r="E9" s="155">
        <v>0</v>
      </c>
    </row>
    <row r="10" spans="1:5" ht="15">
      <c r="A10" s="50" t="s">
        <v>44</v>
      </c>
      <c r="B10" s="51" t="s">
        <v>7</v>
      </c>
      <c r="C10" s="52"/>
      <c r="D10" s="52"/>
      <c r="E10" s="179">
        <v>0</v>
      </c>
    </row>
    <row r="11" spans="1:5" ht="15">
      <c r="A11" s="50" t="s">
        <v>45</v>
      </c>
      <c r="B11" s="51" t="s">
        <v>10</v>
      </c>
      <c r="C11" s="52"/>
      <c r="D11" s="52"/>
      <c r="E11" s="156">
        <v>0</v>
      </c>
    </row>
    <row r="12" spans="1:5" ht="15">
      <c r="A12" s="50" t="s">
        <v>46</v>
      </c>
      <c r="B12" s="51" t="s">
        <v>11</v>
      </c>
      <c r="C12" s="52"/>
      <c r="D12" s="52"/>
      <c r="E12" s="156">
        <v>0</v>
      </c>
    </row>
    <row r="13" spans="1:5" ht="15">
      <c r="A13" s="50" t="s">
        <v>47</v>
      </c>
      <c r="B13" s="51" t="s">
        <v>8</v>
      </c>
      <c r="C13" s="52"/>
      <c r="D13" s="52"/>
      <c r="E13" s="179">
        <v>0</v>
      </c>
    </row>
    <row r="14" spans="1:5" ht="15">
      <c r="A14" s="50" t="s">
        <v>48</v>
      </c>
      <c r="B14" s="51" t="s">
        <v>9</v>
      </c>
      <c r="C14" s="52"/>
      <c r="D14" s="52"/>
      <c r="E14" s="179">
        <v>0</v>
      </c>
    </row>
    <row r="15" spans="1:5" ht="15">
      <c r="A15" s="50" t="s">
        <v>49</v>
      </c>
      <c r="B15" s="51" t="s">
        <v>12</v>
      </c>
      <c r="C15" s="52"/>
      <c r="D15" s="52"/>
      <c r="E15" s="156">
        <v>0</v>
      </c>
    </row>
    <row r="16" spans="1:5" ht="15">
      <c r="A16" s="50" t="s">
        <v>55</v>
      </c>
      <c r="B16" s="51" t="s">
        <v>23</v>
      </c>
      <c r="C16" s="52"/>
      <c r="D16" s="52"/>
      <c r="E16" s="157">
        <v>2000000</v>
      </c>
    </row>
    <row r="17" spans="1:5" ht="15">
      <c r="A17" s="53"/>
      <c r="B17" s="52"/>
      <c r="C17" s="60" t="s">
        <v>13</v>
      </c>
      <c r="D17" s="52"/>
      <c r="E17" s="61">
        <f>SUM(E9:E16)</f>
        <v>2000000</v>
      </c>
    </row>
    <row r="18" spans="1:5" ht="15">
      <c r="A18" s="53"/>
      <c r="B18" s="52"/>
      <c r="C18" s="52"/>
      <c r="D18" s="52"/>
      <c r="E18" s="55"/>
    </row>
    <row r="19" spans="1:5" ht="15.75">
      <c r="A19" s="56" t="s">
        <v>14</v>
      </c>
      <c r="B19" s="52"/>
      <c r="C19" s="52"/>
      <c r="D19" s="52"/>
      <c r="E19" s="55"/>
    </row>
    <row r="20" spans="1:5" ht="15">
      <c r="A20" s="50" t="s">
        <v>43</v>
      </c>
      <c r="B20" s="51" t="s">
        <v>15</v>
      </c>
      <c r="C20" s="51"/>
      <c r="D20" s="52"/>
      <c r="E20" s="155">
        <v>0</v>
      </c>
    </row>
    <row r="21" spans="1:5" ht="15">
      <c r="A21" s="50" t="s">
        <v>44</v>
      </c>
      <c r="B21" s="51" t="s">
        <v>76</v>
      </c>
      <c r="C21" s="51"/>
      <c r="D21" s="52"/>
      <c r="E21" s="179">
        <v>0</v>
      </c>
    </row>
    <row r="22" spans="1:5" ht="15">
      <c r="A22" s="50" t="s">
        <v>45</v>
      </c>
      <c r="B22" s="51" t="s">
        <v>16</v>
      </c>
      <c r="C22" s="51"/>
      <c r="D22" s="52"/>
      <c r="E22" s="179">
        <v>0</v>
      </c>
    </row>
    <row r="23" spans="1:5" ht="15">
      <c r="A23" s="50" t="s">
        <v>46</v>
      </c>
      <c r="B23" s="51" t="s">
        <v>17</v>
      </c>
      <c r="C23" s="51"/>
      <c r="D23" s="52"/>
      <c r="E23" s="156">
        <v>0</v>
      </c>
    </row>
    <row r="24" spans="1:5" ht="15">
      <c r="A24" s="50" t="s">
        <v>47</v>
      </c>
      <c r="B24" s="51" t="s">
        <v>18</v>
      </c>
      <c r="C24" s="51"/>
      <c r="D24" s="52"/>
      <c r="E24" s="156">
        <v>0</v>
      </c>
    </row>
    <row r="25" spans="1:8" ht="15">
      <c r="A25" s="50" t="s">
        <v>48</v>
      </c>
      <c r="B25" s="51" t="s">
        <v>19</v>
      </c>
      <c r="C25" s="51"/>
      <c r="D25" s="52"/>
      <c r="E25" s="179">
        <v>0</v>
      </c>
      <c r="G25" s="4"/>
      <c r="H25" s="4"/>
    </row>
    <row r="26" spans="1:8" ht="15">
      <c r="A26" s="62" t="s">
        <v>49</v>
      </c>
      <c r="B26" s="52" t="s">
        <v>140</v>
      </c>
      <c r="C26" s="52"/>
      <c r="D26" s="52"/>
      <c r="E26" s="63">
        <f>E50</f>
        <v>0</v>
      </c>
      <c r="G26" s="46"/>
      <c r="H26" s="4"/>
    </row>
    <row r="27" spans="1:8" ht="15">
      <c r="A27" s="50" t="s">
        <v>55</v>
      </c>
      <c r="B27" s="51" t="s">
        <v>62</v>
      </c>
      <c r="C27" s="51"/>
      <c r="D27" s="52"/>
      <c r="E27" s="156">
        <v>0</v>
      </c>
      <c r="G27" s="4"/>
      <c r="H27" s="4"/>
    </row>
    <row r="28" spans="1:5" ht="15">
      <c r="A28" s="50" t="s">
        <v>56</v>
      </c>
      <c r="B28" s="51" t="s">
        <v>38</v>
      </c>
      <c r="C28" s="51"/>
      <c r="D28" s="52"/>
      <c r="E28" s="156">
        <v>0</v>
      </c>
    </row>
    <row r="29" spans="1:5" ht="15">
      <c r="A29" s="50" t="s">
        <v>57</v>
      </c>
      <c r="B29" s="51" t="s">
        <v>23</v>
      </c>
      <c r="C29" s="51"/>
      <c r="D29" s="52"/>
      <c r="E29" s="156">
        <v>0</v>
      </c>
    </row>
    <row r="30" spans="1:5" ht="15">
      <c r="A30" s="53"/>
      <c r="B30" s="52"/>
      <c r="C30" s="60" t="s">
        <v>13</v>
      </c>
      <c r="D30" s="52"/>
      <c r="E30" s="61">
        <f>SUM(E20:E29)</f>
        <v>0</v>
      </c>
    </row>
    <row r="31" spans="1:5" ht="15">
      <c r="A31" s="53"/>
      <c r="B31" s="52"/>
      <c r="C31" s="52"/>
      <c r="D31" s="52"/>
      <c r="E31" s="55"/>
    </row>
    <row r="32" spans="1:5" ht="16.5" thickBot="1">
      <c r="A32" s="56" t="s">
        <v>22</v>
      </c>
      <c r="B32" s="52"/>
      <c r="C32" s="52"/>
      <c r="D32" s="52"/>
      <c r="E32" s="59">
        <f>E17+E30</f>
        <v>2000000</v>
      </c>
    </row>
    <row r="33" spans="1:7" ht="13.5" thickTop="1">
      <c r="A33" s="20"/>
      <c r="B33" s="2"/>
      <c r="C33" s="2"/>
      <c r="D33" s="2"/>
      <c r="E33" s="58"/>
      <c r="F33" s="4"/>
      <c r="G33" s="4"/>
    </row>
    <row r="34" spans="1:6" ht="16.5" customHeight="1" thickBot="1">
      <c r="A34" s="45"/>
      <c r="B34" s="45"/>
      <c r="C34" s="45"/>
      <c r="D34" s="45"/>
      <c r="E34" s="45"/>
      <c r="F34" s="4"/>
    </row>
    <row r="35" ht="16.5" customHeight="1">
      <c r="F35" s="4"/>
    </row>
    <row r="36" spans="1:5" ht="15.75">
      <c r="A36" s="47" t="s">
        <v>20</v>
      </c>
      <c r="B36" s="48"/>
      <c r="C36" s="48"/>
      <c r="D36" s="48"/>
      <c r="E36" s="49"/>
    </row>
    <row r="37" spans="1:5" ht="15">
      <c r="A37" s="50" t="s">
        <v>43</v>
      </c>
      <c r="B37" s="51" t="s">
        <v>24</v>
      </c>
      <c r="C37" s="52"/>
      <c r="D37" s="52"/>
      <c r="E37" s="155">
        <v>0</v>
      </c>
    </row>
    <row r="38" spans="1:5" ht="15">
      <c r="A38" s="50" t="s">
        <v>44</v>
      </c>
      <c r="B38" s="51" t="s">
        <v>25</v>
      </c>
      <c r="C38" s="52"/>
      <c r="D38" s="52"/>
      <c r="E38" s="156">
        <v>0</v>
      </c>
    </row>
    <row r="39" spans="1:5" ht="15">
      <c r="A39" s="50" t="s">
        <v>45</v>
      </c>
      <c r="B39" s="51" t="s">
        <v>141</v>
      </c>
      <c r="C39" s="52"/>
      <c r="D39" s="52"/>
      <c r="E39" s="156">
        <v>0</v>
      </c>
    </row>
    <row r="40" spans="1:5" ht="15">
      <c r="A40" s="50" t="s">
        <v>46</v>
      </c>
      <c r="B40" s="51" t="s">
        <v>21</v>
      </c>
      <c r="C40" s="52"/>
      <c r="D40" s="52"/>
      <c r="E40" s="157">
        <v>0</v>
      </c>
    </row>
    <row r="41" spans="1:5" ht="15">
      <c r="A41" s="53"/>
      <c r="B41" s="52"/>
      <c r="C41" s="52" t="s">
        <v>13</v>
      </c>
      <c r="D41" s="52"/>
      <c r="E41" s="54">
        <f>SUM(E37:E40)</f>
        <v>0</v>
      </c>
    </row>
    <row r="42" spans="1:5" ht="15">
      <c r="A42" s="53"/>
      <c r="B42" s="52"/>
      <c r="C42" s="52"/>
      <c r="D42" s="52"/>
      <c r="E42" s="55"/>
    </row>
    <row r="43" spans="1:5" ht="15.75">
      <c r="A43" s="56" t="s">
        <v>27</v>
      </c>
      <c r="B43" s="52"/>
      <c r="C43" s="52"/>
      <c r="D43" s="52"/>
      <c r="E43" s="55"/>
    </row>
    <row r="44" spans="1:5" ht="15">
      <c r="A44" s="50" t="s">
        <v>43</v>
      </c>
      <c r="B44" s="51" t="s">
        <v>28</v>
      </c>
      <c r="C44" s="52"/>
      <c r="D44" s="52"/>
      <c r="E44" s="155">
        <v>0</v>
      </c>
    </row>
    <row r="45" spans="1:5" ht="15">
      <c r="A45" s="50" t="s">
        <v>44</v>
      </c>
      <c r="B45" s="51" t="s">
        <v>29</v>
      </c>
      <c r="C45" s="52"/>
      <c r="D45" s="52"/>
      <c r="E45" s="156">
        <v>0</v>
      </c>
    </row>
    <row r="46" spans="1:5" ht="15">
      <c r="A46" s="50" t="s">
        <v>45</v>
      </c>
      <c r="B46" s="51" t="s">
        <v>30</v>
      </c>
      <c r="C46" s="52"/>
      <c r="D46" s="52"/>
      <c r="E46" s="156">
        <v>0</v>
      </c>
    </row>
    <row r="47" spans="1:5" ht="15">
      <c r="A47" s="50" t="s">
        <v>46</v>
      </c>
      <c r="B47" s="51" t="s">
        <v>21</v>
      </c>
      <c r="C47" s="52"/>
      <c r="D47" s="52"/>
      <c r="E47" s="157">
        <v>0</v>
      </c>
    </row>
    <row r="48" spans="1:5" ht="15">
      <c r="A48" s="53"/>
      <c r="B48" s="52"/>
      <c r="C48" s="52" t="s">
        <v>13</v>
      </c>
      <c r="D48" s="52"/>
      <c r="E48" s="57">
        <f>SUM(E44:E47)</f>
        <v>0</v>
      </c>
    </row>
    <row r="49" spans="1:5" ht="15">
      <c r="A49" s="53"/>
      <c r="B49" s="52"/>
      <c r="C49" s="52"/>
      <c r="D49" s="52"/>
      <c r="E49" s="55"/>
    </row>
    <row r="50" spans="1:5" ht="16.5" thickBot="1">
      <c r="A50" s="56" t="s">
        <v>31</v>
      </c>
      <c r="B50" s="52"/>
      <c r="C50" s="52"/>
      <c r="D50" s="52"/>
      <c r="E50" s="59">
        <f>E41-E48</f>
        <v>0</v>
      </c>
    </row>
    <row r="51" spans="1:5" ht="13.5" thickTop="1">
      <c r="A51" s="20"/>
      <c r="B51" s="2" t="s">
        <v>142</v>
      </c>
      <c r="C51" s="2"/>
      <c r="D51" s="2"/>
      <c r="E51" s="58"/>
    </row>
  </sheetData>
  <sheetProtection/>
  <mergeCells count="5">
    <mergeCell ref="A5:F5"/>
    <mergeCell ref="A1:F1"/>
    <mergeCell ref="A2:F2"/>
    <mergeCell ref="A3:F3"/>
    <mergeCell ref="A4:F4"/>
  </mergeCells>
  <printOptions horizontalCentered="1"/>
  <pageMargins left="0.25" right="0.25" top="0.79" bottom="0.75" header="0.5" footer="0.5"/>
  <pageSetup fitToHeight="1" fitToWidth="1" horizontalDpi="600" verticalDpi="600" orientation="portrait" scale="92" r:id="rId2"/>
  <headerFooter alignWithMargins="0">
    <oddHeader>&amp;L&amp;"Arial,Italic"&amp;11NOTE: When completing this table make entries in the shaded fields only.</oddHeader>
    <oddFooter>&amp;L&amp;D
Health Care Administration&amp;R&amp;F,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9">
      <selection activeCell="G43" sqref="G43"/>
    </sheetView>
  </sheetViews>
  <sheetFormatPr defaultColWidth="9.140625" defaultRowHeight="12.75"/>
  <cols>
    <col min="1" max="1" width="8.00390625" style="0" customWidth="1"/>
    <col min="2" max="2" width="4.421875" style="0" customWidth="1"/>
    <col min="3" max="3" width="17.140625" style="0" customWidth="1"/>
    <col min="4" max="4" width="9.8515625" style="0" customWidth="1"/>
    <col min="5" max="5" width="4.8515625" style="0" customWidth="1"/>
    <col min="6" max="6" width="9.421875" style="0" customWidth="1"/>
    <col min="7" max="7" width="15.8515625" style="0" customWidth="1"/>
    <col min="9" max="9" width="13.7109375" style="0" customWidth="1"/>
  </cols>
  <sheetData>
    <row r="1" spans="1:11" s="126" customFormat="1" ht="15">
      <c r="A1" s="194" t="str">
        <f>List!A1</f>
        <v>Northeast Kingdom Human Services</v>
      </c>
      <c r="B1" s="194"/>
      <c r="C1" s="194"/>
      <c r="D1" s="194"/>
      <c r="E1" s="194"/>
      <c r="F1" s="194"/>
      <c r="G1" s="194"/>
      <c r="H1" s="128"/>
      <c r="I1" s="128"/>
      <c r="J1" s="128"/>
      <c r="K1" s="128"/>
    </row>
    <row r="2" spans="1:11" s="126" customFormat="1" ht="15.75">
      <c r="A2" s="192" t="str">
        <f>List!A2</f>
        <v>Front Porch Residential Facility</v>
      </c>
      <c r="B2" s="192"/>
      <c r="C2" s="192"/>
      <c r="D2" s="192"/>
      <c r="E2" s="192"/>
      <c r="F2" s="192"/>
      <c r="G2" s="192"/>
      <c r="H2" s="128"/>
      <c r="I2" s="128"/>
      <c r="J2" s="128"/>
      <c r="K2" s="128"/>
    </row>
    <row r="3" spans="1:11" s="126" customFormat="1" ht="14.25">
      <c r="A3" s="195" t="s">
        <v>26</v>
      </c>
      <c r="B3" s="195"/>
      <c r="C3" s="195"/>
      <c r="D3" s="195"/>
      <c r="E3" s="195"/>
      <c r="F3" s="195"/>
      <c r="G3" s="195"/>
      <c r="H3" s="128"/>
      <c r="I3" s="128"/>
      <c r="J3" s="128"/>
      <c r="K3" s="128"/>
    </row>
    <row r="4" spans="1:11" s="126" customFormat="1" ht="14.25">
      <c r="A4" s="196" t="s">
        <v>216</v>
      </c>
      <c r="B4" s="196"/>
      <c r="C4" s="196"/>
      <c r="D4" s="196"/>
      <c r="E4" s="196"/>
      <c r="F4" s="196"/>
      <c r="G4" s="196"/>
      <c r="H4" s="128"/>
      <c r="I4" s="128"/>
      <c r="J4" s="128"/>
      <c r="K4" s="128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15.75" customHeight="1"/>
    <row r="7" spans="1:7" ht="15.75" customHeight="1">
      <c r="A7" s="47" t="s">
        <v>32</v>
      </c>
      <c r="B7" s="104"/>
      <c r="C7" s="104"/>
      <c r="D7" s="104"/>
      <c r="E7" s="104"/>
      <c r="F7" s="104"/>
      <c r="G7" s="105"/>
    </row>
    <row r="8" spans="1:7" ht="15.75" customHeight="1">
      <c r="A8" s="18"/>
      <c r="B8" s="4"/>
      <c r="C8" s="4"/>
      <c r="D8" s="4"/>
      <c r="E8" s="4"/>
      <c r="F8" s="4"/>
      <c r="G8" s="19"/>
    </row>
    <row r="9" spans="1:7" ht="15.75" customHeight="1">
      <c r="A9" s="106" t="s">
        <v>43</v>
      </c>
      <c r="B9" s="35" t="s">
        <v>33</v>
      </c>
      <c r="C9" s="4"/>
      <c r="D9" s="162" t="s">
        <v>39</v>
      </c>
      <c r="E9" s="4"/>
      <c r="F9" s="4"/>
      <c r="G9" s="19"/>
    </row>
    <row r="10" spans="1:7" ht="15.75" customHeight="1">
      <c r="A10" s="16"/>
      <c r="B10" s="107" t="s">
        <v>50</v>
      </c>
      <c r="C10" s="35" t="s">
        <v>34</v>
      </c>
      <c r="D10" s="163">
        <v>0</v>
      </c>
      <c r="E10" s="4"/>
      <c r="F10" s="4"/>
      <c r="G10" s="108"/>
    </row>
    <row r="11" spans="1:7" ht="15.75" customHeight="1">
      <c r="A11" s="16"/>
      <c r="B11" s="107" t="s">
        <v>51</v>
      </c>
      <c r="C11" s="35" t="s">
        <v>36</v>
      </c>
      <c r="D11" s="164"/>
      <c r="E11" s="109" t="s">
        <v>40</v>
      </c>
      <c r="F11" s="158"/>
      <c r="G11" s="108"/>
    </row>
    <row r="12" spans="1:7" ht="15.75" customHeight="1">
      <c r="A12" s="16"/>
      <c r="B12" s="107" t="s">
        <v>52</v>
      </c>
      <c r="C12" s="35" t="s">
        <v>35</v>
      </c>
      <c r="D12" s="4"/>
      <c r="E12" s="4"/>
      <c r="F12" s="4"/>
      <c r="G12" s="159">
        <v>0</v>
      </c>
    </row>
    <row r="13" spans="1:7" ht="15.75" customHeight="1">
      <c r="A13" s="106" t="s">
        <v>44</v>
      </c>
      <c r="B13" s="35" t="s">
        <v>37</v>
      </c>
      <c r="C13" s="4"/>
      <c r="D13" s="4"/>
      <c r="E13" s="4"/>
      <c r="F13" s="4"/>
      <c r="G13" s="160">
        <f>'Table 1'!E32</f>
        <v>2000000</v>
      </c>
    </row>
    <row r="14" spans="1:7" ht="15.75" customHeight="1">
      <c r="A14" s="106" t="s">
        <v>45</v>
      </c>
      <c r="B14" s="35" t="s">
        <v>144</v>
      </c>
      <c r="C14" s="4"/>
      <c r="D14" s="4"/>
      <c r="E14" s="4"/>
      <c r="F14" s="4"/>
      <c r="G14" s="110"/>
    </row>
    <row r="15" spans="1:7" ht="15.75" customHeight="1">
      <c r="A15" s="111"/>
      <c r="B15" s="112" t="s">
        <v>50</v>
      </c>
      <c r="C15" s="35" t="s">
        <v>38</v>
      </c>
      <c r="D15" s="99"/>
      <c r="E15" s="21"/>
      <c r="F15" s="4"/>
      <c r="G15" s="160">
        <v>0</v>
      </c>
    </row>
    <row r="16" spans="1:7" ht="15.75" customHeight="1">
      <c r="A16" s="111"/>
      <c r="B16" s="112" t="s">
        <v>51</v>
      </c>
      <c r="C16" s="35" t="s">
        <v>145</v>
      </c>
      <c r="D16" s="113"/>
      <c r="E16" s="21"/>
      <c r="F16" s="4"/>
      <c r="G16" s="160">
        <v>0</v>
      </c>
    </row>
    <row r="17" spans="1:7" ht="15.75" customHeight="1">
      <c r="A17" s="111"/>
      <c r="B17" s="112" t="s">
        <v>52</v>
      </c>
      <c r="C17" s="35" t="s">
        <v>146</v>
      </c>
      <c r="D17" s="114"/>
      <c r="E17" s="23"/>
      <c r="F17" s="35"/>
      <c r="G17" s="160">
        <v>0</v>
      </c>
    </row>
    <row r="18" spans="1:7" ht="15.75" customHeight="1">
      <c r="A18" s="111"/>
      <c r="B18" s="112" t="s">
        <v>53</v>
      </c>
      <c r="C18" s="35" t="s">
        <v>21</v>
      </c>
      <c r="D18" s="4"/>
      <c r="E18" s="4"/>
      <c r="F18" s="4"/>
      <c r="G18" s="161"/>
    </row>
    <row r="19" spans="1:7" ht="15.75" customHeight="1">
      <c r="A19" s="16"/>
      <c r="B19" s="4"/>
      <c r="C19" s="4"/>
      <c r="D19" s="4"/>
      <c r="E19" s="4"/>
      <c r="F19" s="4"/>
      <c r="G19" s="108"/>
    </row>
    <row r="20" spans="1:7" ht="15.75" customHeight="1" thickBot="1">
      <c r="A20" s="18" t="s">
        <v>42</v>
      </c>
      <c r="B20" s="4"/>
      <c r="C20" s="4"/>
      <c r="D20" s="4"/>
      <c r="E20" s="4"/>
      <c r="F20" s="4"/>
      <c r="G20" s="115">
        <f>SUM(G12:G18)</f>
        <v>2000000</v>
      </c>
    </row>
    <row r="21" spans="1:7" ht="15.75" customHeight="1" thickTop="1">
      <c r="A21" s="20"/>
      <c r="B21" s="2"/>
      <c r="C21" s="2"/>
      <c r="D21" s="2"/>
      <c r="E21" s="2"/>
      <c r="F21" s="2"/>
      <c r="G21" s="58"/>
    </row>
    <row r="22" ht="15.75" customHeight="1"/>
    <row r="23" spans="1:7" ht="15.75" customHeight="1">
      <c r="A23" s="47" t="s">
        <v>54</v>
      </c>
      <c r="B23" s="104"/>
      <c r="C23" s="104"/>
      <c r="D23" s="104"/>
      <c r="E23" s="104"/>
      <c r="F23" s="104"/>
      <c r="G23" s="105"/>
    </row>
    <row r="24" spans="1:7" ht="15.75" customHeight="1">
      <c r="A24" s="18"/>
      <c r="B24" s="4"/>
      <c r="C24" s="4"/>
      <c r="D24" s="4"/>
      <c r="E24" s="4"/>
      <c r="F24" s="4"/>
      <c r="G24" s="19"/>
    </row>
    <row r="25" spans="1:9" ht="15.75" customHeight="1">
      <c r="A25" s="116" t="s">
        <v>67</v>
      </c>
      <c r="B25" s="4"/>
      <c r="C25" s="4"/>
      <c r="D25" s="4"/>
      <c r="E25" s="4"/>
      <c r="F25" s="4"/>
      <c r="G25" s="19"/>
      <c r="I25" s="5" t="s">
        <v>69</v>
      </c>
    </row>
    <row r="26" spans="1:9" ht="15.75" customHeight="1">
      <c r="A26" s="117" t="s">
        <v>43</v>
      </c>
      <c r="B26" s="4" t="s">
        <v>6</v>
      </c>
      <c r="C26" s="4"/>
      <c r="D26" s="4"/>
      <c r="E26" s="4"/>
      <c r="F26" s="4"/>
      <c r="G26" s="118">
        <f>'Table 1'!E9</f>
        <v>0</v>
      </c>
      <c r="I26" s="6">
        <f>G26-'Table 1'!E9</f>
        <v>0</v>
      </c>
    </row>
    <row r="27" spans="1:9" ht="15.75" customHeight="1">
      <c r="A27" s="117" t="s">
        <v>44</v>
      </c>
      <c r="B27" s="4" t="s">
        <v>7</v>
      </c>
      <c r="C27" s="4"/>
      <c r="D27" s="4"/>
      <c r="E27" s="4"/>
      <c r="F27" s="4"/>
      <c r="G27" s="119">
        <f>'Table 1'!E10</f>
        <v>0</v>
      </c>
      <c r="I27" s="6">
        <f>G27-'Table 1'!E10</f>
        <v>0</v>
      </c>
    </row>
    <row r="28" spans="1:9" ht="15.75" customHeight="1">
      <c r="A28" s="117" t="s">
        <v>45</v>
      </c>
      <c r="B28" s="4" t="s">
        <v>10</v>
      </c>
      <c r="C28" s="4"/>
      <c r="D28" s="4"/>
      <c r="E28" s="4"/>
      <c r="F28" s="4"/>
      <c r="G28" s="119">
        <f>'Table 1'!E11</f>
        <v>0</v>
      </c>
      <c r="I28" s="6">
        <f>G28-'Table 1'!E11</f>
        <v>0</v>
      </c>
    </row>
    <row r="29" spans="1:9" ht="15.75" customHeight="1">
      <c r="A29" s="117" t="s">
        <v>46</v>
      </c>
      <c r="B29" s="4" t="s">
        <v>11</v>
      </c>
      <c r="C29" s="4"/>
      <c r="D29" s="4"/>
      <c r="E29" s="4"/>
      <c r="F29" s="4"/>
      <c r="G29" s="119">
        <f>'Table 1'!E12</f>
        <v>0</v>
      </c>
      <c r="I29" s="6">
        <f>G29-'Table 1'!E12</f>
        <v>0</v>
      </c>
    </row>
    <row r="30" spans="1:9" ht="15.75" customHeight="1">
      <c r="A30" s="117" t="s">
        <v>47</v>
      </c>
      <c r="B30" s="4" t="s">
        <v>8</v>
      </c>
      <c r="C30" s="4"/>
      <c r="D30" s="4"/>
      <c r="E30" s="4"/>
      <c r="F30" s="4"/>
      <c r="G30" s="119">
        <f>'Table 1'!E13</f>
        <v>0</v>
      </c>
      <c r="I30" s="6">
        <f>G30-'Table 1'!E13</f>
        <v>0</v>
      </c>
    </row>
    <row r="31" spans="1:9" ht="15.75" customHeight="1">
      <c r="A31" s="117" t="s">
        <v>48</v>
      </c>
      <c r="B31" s="4" t="s">
        <v>9</v>
      </c>
      <c r="C31" s="4"/>
      <c r="D31" s="4"/>
      <c r="E31" s="4"/>
      <c r="F31" s="4"/>
      <c r="G31" s="119">
        <f>'Table 1'!E14</f>
        <v>0</v>
      </c>
      <c r="I31" s="6">
        <f>G31-'Table 1'!E14</f>
        <v>0</v>
      </c>
    </row>
    <row r="32" spans="1:9" ht="15.75" customHeight="1">
      <c r="A32" s="117" t="s">
        <v>49</v>
      </c>
      <c r="B32" s="4" t="s">
        <v>12</v>
      </c>
      <c r="C32" s="4"/>
      <c r="D32" s="4"/>
      <c r="E32" s="4"/>
      <c r="F32" s="4"/>
      <c r="G32" s="119">
        <f>'Table 1'!E15</f>
        <v>0</v>
      </c>
      <c r="I32" s="6">
        <f>G32-'Table 1'!E15</f>
        <v>0</v>
      </c>
    </row>
    <row r="33" spans="1:9" ht="15.75" customHeight="1">
      <c r="A33" s="117" t="s">
        <v>55</v>
      </c>
      <c r="B33" s="4" t="s">
        <v>15</v>
      </c>
      <c r="C33" s="4"/>
      <c r="D33" s="4"/>
      <c r="E33" s="4"/>
      <c r="F33" s="4"/>
      <c r="G33" s="119">
        <f>'Table 1'!E20</f>
        <v>0</v>
      </c>
      <c r="I33" s="6">
        <f>G33-'Table 1'!E20</f>
        <v>0</v>
      </c>
    </row>
    <row r="34" spans="1:9" ht="15.75" customHeight="1">
      <c r="A34" s="117" t="s">
        <v>56</v>
      </c>
      <c r="B34" s="4" t="s">
        <v>76</v>
      </c>
      <c r="C34" s="4"/>
      <c r="D34" s="4"/>
      <c r="E34" s="4"/>
      <c r="F34" s="4"/>
      <c r="G34" s="119">
        <f>'Table 1'!E21</f>
        <v>0</v>
      </c>
      <c r="I34" s="6">
        <f>G34-'Table 1'!E21</f>
        <v>0</v>
      </c>
    </row>
    <row r="35" spans="1:9" ht="15.75" customHeight="1">
      <c r="A35" s="117" t="s">
        <v>57</v>
      </c>
      <c r="B35" s="4" t="s">
        <v>16</v>
      </c>
      <c r="C35" s="4"/>
      <c r="D35" s="4"/>
      <c r="E35" s="4"/>
      <c r="F35" s="4"/>
      <c r="G35" s="119">
        <f>'Table 1'!E22</f>
        <v>0</v>
      </c>
      <c r="I35" s="6">
        <f>G35-'Table 1'!E22</f>
        <v>0</v>
      </c>
    </row>
    <row r="36" spans="1:9" ht="15.75" customHeight="1">
      <c r="A36" s="117" t="s">
        <v>58</v>
      </c>
      <c r="B36" s="4" t="s">
        <v>17</v>
      </c>
      <c r="C36" s="4"/>
      <c r="D36" s="4"/>
      <c r="E36" s="4"/>
      <c r="F36" s="4"/>
      <c r="G36" s="119">
        <f>'Table 1'!E23</f>
        <v>0</v>
      </c>
      <c r="I36" s="6">
        <f>G36-'Table 1'!E23</f>
        <v>0</v>
      </c>
    </row>
    <row r="37" spans="1:9" ht="15.75" customHeight="1">
      <c r="A37" s="117" t="s">
        <v>59</v>
      </c>
      <c r="B37" s="4" t="s">
        <v>18</v>
      </c>
      <c r="C37" s="4"/>
      <c r="D37" s="4"/>
      <c r="E37" s="4"/>
      <c r="F37" s="4"/>
      <c r="G37" s="119">
        <f>'Table 1'!E24</f>
        <v>0</v>
      </c>
      <c r="I37" s="6">
        <f>G37-'Table 1'!E24</f>
        <v>0</v>
      </c>
    </row>
    <row r="38" spans="1:9" ht="15.75" customHeight="1">
      <c r="A38" s="117" t="s">
        <v>60</v>
      </c>
      <c r="B38" s="4" t="s">
        <v>19</v>
      </c>
      <c r="C38" s="4"/>
      <c r="D38" s="4"/>
      <c r="E38" s="4"/>
      <c r="F38" s="4"/>
      <c r="G38" s="119">
        <f>'Table 1'!E25</f>
        <v>0</v>
      </c>
      <c r="I38" s="6">
        <f>G38-'Table 1'!E25</f>
        <v>0</v>
      </c>
    </row>
    <row r="39" spans="1:9" ht="15.75" customHeight="1">
      <c r="A39" s="117" t="s">
        <v>61</v>
      </c>
      <c r="B39" s="4" t="s">
        <v>20</v>
      </c>
      <c r="C39" s="4"/>
      <c r="D39" s="4"/>
      <c r="E39" s="4"/>
      <c r="F39" s="4"/>
      <c r="G39" s="119">
        <f>'Table 1'!E26</f>
        <v>0</v>
      </c>
      <c r="I39" s="6">
        <f>G39-'Table 1'!E26</f>
        <v>0</v>
      </c>
    </row>
    <row r="40" spans="1:9" ht="15.75" customHeight="1">
      <c r="A40" s="117" t="s">
        <v>63</v>
      </c>
      <c r="B40" s="4" t="s">
        <v>62</v>
      </c>
      <c r="C40" s="4"/>
      <c r="D40" s="4"/>
      <c r="E40" s="4"/>
      <c r="F40" s="4"/>
      <c r="G40" s="119">
        <f>'Table 1'!E27</f>
        <v>0</v>
      </c>
      <c r="I40" s="6">
        <f>G40-'Table 1'!E27</f>
        <v>0</v>
      </c>
    </row>
    <row r="41" spans="1:9" ht="15.75" customHeight="1">
      <c r="A41" s="117" t="s">
        <v>64</v>
      </c>
      <c r="B41" s="4" t="s">
        <v>38</v>
      </c>
      <c r="C41" s="4"/>
      <c r="D41" s="4"/>
      <c r="E41" s="4"/>
      <c r="F41" s="4"/>
      <c r="G41" s="119">
        <f>'Table 1'!E28</f>
        <v>0</v>
      </c>
      <c r="I41" s="6">
        <f>G41-'Table 1'!E28</f>
        <v>0</v>
      </c>
    </row>
    <row r="42" spans="1:9" ht="15.75" customHeight="1">
      <c r="A42" s="117" t="s">
        <v>65</v>
      </c>
      <c r="B42" s="4" t="s">
        <v>23</v>
      </c>
      <c r="C42" s="4"/>
      <c r="D42" s="4"/>
      <c r="E42" s="4"/>
      <c r="F42" s="4"/>
      <c r="G42" s="120">
        <v>2000000</v>
      </c>
      <c r="I42" s="6">
        <f>G42-'Table 1'!E16-'Table 1'!E29</f>
        <v>0</v>
      </c>
    </row>
    <row r="43" spans="1:9" ht="15.75" customHeight="1">
      <c r="A43" s="16"/>
      <c r="B43" s="4"/>
      <c r="C43" s="4"/>
      <c r="D43" s="4"/>
      <c r="E43" s="4"/>
      <c r="F43" s="4"/>
      <c r="G43" s="19"/>
      <c r="I43" s="7"/>
    </row>
    <row r="44" spans="1:9" ht="15.75" customHeight="1" thickBot="1">
      <c r="A44" s="121" t="s">
        <v>66</v>
      </c>
      <c r="B44" s="4"/>
      <c r="C44" s="4"/>
      <c r="D44" s="4"/>
      <c r="E44" s="4"/>
      <c r="F44" s="4"/>
      <c r="G44" s="122">
        <f>SUM(G26:G42)</f>
        <v>2000000</v>
      </c>
      <c r="I44" s="8">
        <f>G44-G20</f>
        <v>0</v>
      </c>
    </row>
    <row r="45" spans="1:7" ht="15.75" customHeight="1" thickTop="1">
      <c r="A45" s="20"/>
      <c r="B45" s="2"/>
      <c r="C45" s="2"/>
      <c r="D45" s="2"/>
      <c r="E45" s="2"/>
      <c r="F45" s="2"/>
      <c r="G45" s="58"/>
    </row>
    <row r="46" ht="20.25" customHeight="1">
      <c r="A46" s="127" t="s">
        <v>68</v>
      </c>
    </row>
  </sheetData>
  <sheetProtection/>
  <mergeCells count="4">
    <mergeCell ref="A1:G1"/>
    <mergeCell ref="A2:G2"/>
    <mergeCell ref="A3:G3"/>
    <mergeCell ref="A4:G4"/>
  </mergeCells>
  <printOptions horizontalCentered="1"/>
  <pageMargins left="0.25" right="0.25" top="0.75" bottom="0.75" header="0.5" footer="0.5"/>
  <pageSetup fitToHeight="1" fitToWidth="1" horizontalDpi="600" verticalDpi="600" orientation="portrait" scale="97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5" zoomScaleNormal="85" zoomScalePageLayoutView="0" workbookViewId="0" topLeftCell="A7">
      <selection activeCell="G31" sqref="G31"/>
    </sheetView>
  </sheetViews>
  <sheetFormatPr defaultColWidth="9.140625" defaultRowHeight="12.75"/>
  <cols>
    <col min="1" max="1" width="2.7109375" style="0" customWidth="1"/>
    <col min="2" max="2" width="32.8515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5.710937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2" t="str">
        <f>'Table 1'!A1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7" t="str">
        <f>'Table 1'!A2</f>
        <v>Front Porch Residential Facility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4.25">
      <c r="A3" s="195" t="s">
        <v>179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77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226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3:11" ht="15.75" customHeight="1"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5.75" customHeight="1">
      <c r="C9" s="180"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1:10" ht="15.75" customHeight="1">
      <c r="A10" s="1" t="s">
        <v>78</v>
      </c>
      <c r="D10" s="25"/>
      <c r="F10" s="25"/>
      <c r="H10" s="25"/>
      <c r="J10" s="25"/>
    </row>
    <row r="11" spans="2:11" ht="15.75" customHeight="1">
      <c r="B11" s="24" t="s">
        <v>79</v>
      </c>
      <c r="C11" s="165">
        <v>0</v>
      </c>
      <c r="D11" s="166"/>
      <c r="E11" s="165">
        <v>0</v>
      </c>
      <c r="F11" s="166"/>
      <c r="G11" s="165">
        <v>0</v>
      </c>
      <c r="H11" s="166"/>
      <c r="I11" s="165">
        <v>0</v>
      </c>
      <c r="J11" s="166"/>
      <c r="K11" s="165">
        <v>0</v>
      </c>
    </row>
    <row r="12" spans="2:11" ht="15.75" customHeight="1">
      <c r="B12" s="24" t="s">
        <v>80</v>
      </c>
      <c r="C12" s="167">
        <f>(27326461/7*12)</f>
        <v>46845361.71428572</v>
      </c>
      <c r="D12" s="166"/>
      <c r="E12" s="167">
        <f>(27270427.32/7*12)</f>
        <v>46749303.977142856</v>
      </c>
      <c r="F12" s="166"/>
      <c r="G12" s="188">
        <f>C12*103%</f>
        <v>48250722.56571429</v>
      </c>
      <c r="H12" s="166"/>
      <c r="I12" s="182">
        <f>G12*103%</f>
        <v>49698244.24268572</v>
      </c>
      <c r="J12" s="166"/>
      <c r="K12" s="167">
        <f>I12*103%</f>
        <v>51189191.569966294</v>
      </c>
    </row>
    <row r="13" spans="2:11" ht="15.75" customHeight="1">
      <c r="B13" s="24" t="s">
        <v>81</v>
      </c>
      <c r="C13" s="167">
        <v>0</v>
      </c>
      <c r="D13" s="166"/>
      <c r="E13" s="167">
        <v>0</v>
      </c>
      <c r="F13" s="166"/>
      <c r="G13" s="167">
        <v>0</v>
      </c>
      <c r="H13" s="166"/>
      <c r="I13" s="167">
        <v>0</v>
      </c>
      <c r="J13" s="166"/>
      <c r="K13" s="167">
        <v>0</v>
      </c>
    </row>
    <row r="14" spans="2:11" ht="15.75" customHeight="1">
      <c r="B14" s="24" t="s">
        <v>82</v>
      </c>
      <c r="C14" s="167">
        <v>0</v>
      </c>
      <c r="D14" s="166"/>
      <c r="E14" s="167">
        <v>0</v>
      </c>
      <c r="F14" s="166"/>
      <c r="G14" s="167">
        <v>0</v>
      </c>
      <c r="H14" s="166"/>
      <c r="I14" s="167">
        <v>0</v>
      </c>
      <c r="J14" s="166"/>
      <c r="K14" s="167">
        <v>0</v>
      </c>
    </row>
    <row r="15" spans="2:11" ht="15.75" customHeight="1">
      <c r="B15" s="24" t="s">
        <v>83</v>
      </c>
      <c r="C15" s="168">
        <v>0</v>
      </c>
      <c r="D15" s="169"/>
      <c r="E15" s="168">
        <v>0</v>
      </c>
      <c r="F15" s="169"/>
      <c r="G15" s="168">
        <v>0</v>
      </c>
      <c r="H15" s="169"/>
      <c r="I15" s="168">
        <v>0</v>
      </c>
      <c r="J15" s="169"/>
      <c r="K15" s="168">
        <v>0</v>
      </c>
    </row>
    <row r="16" spans="2:11" ht="15.75" customHeight="1">
      <c r="B16" s="25"/>
      <c r="C16" s="30"/>
      <c r="D16" s="27"/>
      <c r="E16" s="30"/>
      <c r="F16" s="27"/>
      <c r="G16" s="30"/>
      <c r="H16" s="27"/>
      <c r="I16" s="30"/>
      <c r="J16" s="27"/>
      <c r="K16" s="30"/>
    </row>
    <row r="17" spans="1:11" ht="15.75" customHeight="1">
      <c r="A17" s="1" t="s">
        <v>84</v>
      </c>
      <c r="C17" s="3">
        <f>SUM(C11:C15)</f>
        <v>46845361.71428572</v>
      </c>
      <c r="D17" s="14"/>
      <c r="E17" s="3">
        <f>SUM(E11:E15)</f>
        <v>46749303.977142856</v>
      </c>
      <c r="F17" s="14"/>
      <c r="G17" s="3">
        <f>SUM(G11:G15)</f>
        <v>48250722.56571429</v>
      </c>
      <c r="H17" s="14"/>
      <c r="I17" s="3">
        <f>SUM(I11:I15)</f>
        <v>49698244.24268572</v>
      </c>
      <c r="J17" s="14"/>
      <c r="K17" s="3">
        <f>SUM(K11:K15)</f>
        <v>51189191.569966294</v>
      </c>
    </row>
    <row r="18" spans="2:11" ht="15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.75" customHeight="1">
      <c r="A19" s="25"/>
      <c r="B19" s="24" t="s">
        <v>85</v>
      </c>
      <c r="C19" s="165">
        <v>0</v>
      </c>
      <c r="D19" s="166"/>
      <c r="E19" s="165">
        <v>0</v>
      </c>
      <c r="F19" s="166"/>
      <c r="G19" s="165">
        <v>0</v>
      </c>
      <c r="H19" s="166"/>
      <c r="I19" s="165">
        <v>0</v>
      </c>
      <c r="J19" s="166"/>
      <c r="K19" s="165">
        <v>0</v>
      </c>
    </row>
    <row r="20" spans="1:11" ht="15.75" customHeight="1">
      <c r="A20" s="25"/>
      <c r="B20" s="24" t="s">
        <v>86</v>
      </c>
      <c r="C20" s="167">
        <v>0</v>
      </c>
      <c r="D20" s="166"/>
      <c r="E20" s="167">
        <v>0</v>
      </c>
      <c r="F20" s="166"/>
      <c r="G20" s="167">
        <v>0</v>
      </c>
      <c r="H20" s="166"/>
      <c r="I20" s="167">
        <v>0</v>
      </c>
      <c r="J20" s="166"/>
      <c r="K20" s="167">
        <v>0</v>
      </c>
    </row>
    <row r="21" spans="1:11" ht="15.75" customHeight="1">
      <c r="A21" s="25"/>
      <c r="B21" s="24" t="s">
        <v>72</v>
      </c>
      <c r="C21" s="168">
        <v>0</v>
      </c>
      <c r="D21" s="169"/>
      <c r="E21" s="168">
        <v>0</v>
      </c>
      <c r="F21" s="169"/>
      <c r="G21" s="168">
        <v>0</v>
      </c>
      <c r="H21" s="169"/>
      <c r="I21" s="168">
        <v>0</v>
      </c>
      <c r="J21" s="169"/>
      <c r="K21" s="168">
        <v>0</v>
      </c>
    </row>
    <row r="22" spans="1:11" ht="15.75" customHeight="1">
      <c r="A22" s="25"/>
      <c r="B22" s="25"/>
      <c r="C22" s="11"/>
      <c r="D22" s="14"/>
      <c r="E22" s="11"/>
      <c r="F22" s="14"/>
      <c r="G22" s="11"/>
      <c r="H22" s="14"/>
      <c r="I22" s="11"/>
      <c r="J22" s="14"/>
      <c r="K22" s="11"/>
    </row>
    <row r="23" spans="1:11" ht="15.75" customHeight="1">
      <c r="A23" s="1" t="s">
        <v>87</v>
      </c>
      <c r="B23" s="25"/>
      <c r="C23" s="10">
        <f>SUM(C17:C21)</f>
        <v>46845361.71428572</v>
      </c>
      <c r="D23" s="14"/>
      <c r="E23" s="10">
        <f>SUM(E17:E21)</f>
        <v>46749303.977142856</v>
      </c>
      <c r="F23" s="14"/>
      <c r="G23" s="10">
        <f>SUM(G17:G21)</f>
        <v>48250722.56571429</v>
      </c>
      <c r="H23" s="14"/>
      <c r="I23" s="10">
        <f>SUM(I17:I21)</f>
        <v>49698244.24268572</v>
      </c>
      <c r="J23" s="14"/>
      <c r="K23" s="10">
        <f>SUM(K17:K21)</f>
        <v>51189191.569966294</v>
      </c>
    </row>
    <row r="24" spans="1:11" ht="15.75" customHeight="1">
      <c r="A24" s="25"/>
      <c r="B24" s="25"/>
      <c r="C24" s="11"/>
      <c r="D24" s="14"/>
      <c r="E24" s="11"/>
      <c r="F24" s="14"/>
      <c r="G24" s="11"/>
      <c r="H24" s="14"/>
      <c r="I24" s="11"/>
      <c r="J24" s="14"/>
      <c r="K24" s="11"/>
    </row>
    <row r="25" spans="2:11" ht="15.75" customHeight="1">
      <c r="B25" s="24" t="s">
        <v>88</v>
      </c>
      <c r="C25" s="168">
        <f>(3320012.05/7*12)</f>
        <v>5691449.228571428</v>
      </c>
      <c r="D25" s="169"/>
      <c r="E25" s="168">
        <f>(1979140.72/7*12)</f>
        <v>3392812.6628571423</v>
      </c>
      <c r="F25" s="169"/>
      <c r="G25" s="183">
        <f>E25*103%</f>
        <v>3494597.042742857</v>
      </c>
      <c r="H25" s="169"/>
      <c r="I25" s="183">
        <f>G25*103%</f>
        <v>3599434.9540251424</v>
      </c>
      <c r="J25" s="169"/>
      <c r="K25" s="168">
        <f>I25*103%</f>
        <v>3707418.0026458967</v>
      </c>
    </row>
    <row r="26" spans="1:11" ht="15.75" customHeight="1">
      <c r="A26" s="25"/>
      <c r="B26" s="25"/>
      <c r="C26" s="10"/>
      <c r="D26" s="14"/>
      <c r="E26" s="10"/>
      <c r="F26" s="14"/>
      <c r="G26" s="10"/>
      <c r="H26" s="14"/>
      <c r="I26" s="10"/>
      <c r="J26" s="14"/>
      <c r="K26" s="10"/>
    </row>
    <row r="27" spans="1:11" ht="15.75" customHeight="1">
      <c r="A27" s="1" t="s">
        <v>89</v>
      </c>
      <c r="B27" s="25"/>
      <c r="C27" s="31">
        <f>C23+C25</f>
        <v>52536810.942857146</v>
      </c>
      <c r="D27" s="15"/>
      <c r="E27" s="31">
        <f>E23+E25</f>
        <v>50142116.64</v>
      </c>
      <c r="F27" s="15"/>
      <c r="G27" s="31">
        <f>G23+G25</f>
        <v>51745319.60845715</v>
      </c>
      <c r="H27" s="15"/>
      <c r="I27" s="31">
        <f>I23+I25</f>
        <v>53297679.19671086</v>
      </c>
      <c r="J27" s="15"/>
      <c r="K27" s="31">
        <f>K23+K25</f>
        <v>54896609.57261219</v>
      </c>
    </row>
    <row r="28" spans="1:12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1" ht="15.75" customHeight="1">
      <c r="A29" s="1" t="s">
        <v>90</v>
      </c>
      <c r="B29" s="25"/>
      <c r="C29" s="10"/>
      <c r="D29" s="14"/>
      <c r="E29" s="10"/>
      <c r="F29" s="14"/>
      <c r="G29" s="10"/>
      <c r="H29" s="14"/>
      <c r="I29" s="10"/>
      <c r="J29" s="14"/>
      <c r="K29" s="10"/>
    </row>
    <row r="30" spans="1:11" ht="15.75" customHeight="1">
      <c r="A30" s="25"/>
      <c r="B30" s="24" t="s">
        <v>91</v>
      </c>
      <c r="C30" s="165">
        <f>((12489732.98-338406.04-107067.62)/7*12)</f>
        <v>20647301.691428576</v>
      </c>
      <c r="D30" s="166"/>
      <c r="E30" s="165">
        <f>(12862290.69-347227.95-2436.86)/7*12</f>
        <v>21450215.794285715</v>
      </c>
      <c r="F30" s="166"/>
      <c r="G30" s="184">
        <f>E30*104%</f>
        <v>22308224.426057145</v>
      </c>
      <c r="H30" s="166"/>
      <c r="I30" s="165">
        <f>G30*103%</f>
        <v>22977471.15883886</v>
      </c>
      <c r="J30" s="166"/>
      <c r="K30" s="165">
        <f aca="true" t="shared" si="0" ref="K30:K36">I30*103%</f>
        <v>23666795.293604027</v>
      </c>
    </row>
    <row r="31" spans="1:11" ht="15.75" customHeight="1">
      <c r="A31" s="25"/>
      <c r="B31" s="24" t="s">
        <v>92</v>
      </c>
      <c r="C31" s="167">
        <f>(3697515.63/7*12)</f>
        <v>6338598.222857144</v>
      </c>
      <c r="D31" s="166"/>
      <c r="E31" s="167">
        <f>3939013.26/7*12</f>
        <v>6752594.159999999</v>
      </c>
      <c r="F31" s="166"/>
      <c r="G31" s="185">
        <f>E31*103%</f>
        <v>6955171.9848</v>
      </c>
      <c r="H31" s="166"/>
      <c r="I31" s="186">
        <f>G31*103%</f>
        <v>7163827.144344</v>
      </c>
      <c r="J31" s="166"/>
      <c r="K31" s="167">
        <f t="shared" si="0"/>
        <v>7378741.95867432</v>
      </c>
    </row>
    <row r="32" spans="1:11" ht="15.75" customHeight="1">
      <c r="A32" s="25"/>
      <c r="B32" s="24" t="s">
        <v>93</v>
      </c>
      <c r="C32" s="167">
        <f>(338406.04+107067.62)/7*12</f>
        <v>763669.1314285714</v>
      </c>
      <c r="D32" s="166"/>
      <c r="E32" s="167">
        <f>(347227.95+2436.86)/7*12</f>
        <v>599425.3885714286</v>
      </c>
      <c r="F32" s="166"/>
      <c r="G32" s="182">
        <f>E32*103%</f>
        <v>617408.1502285715</v>
      </c>
      <c r="H32" s="166"/>
      <c r="I32" s="186">
        <f>G32*103%</f>
        <v>635930.3947354286</v>
      </c>
      <c r="J32" s="166"/>
      <c r="K32" s="167">
        <f t="shared" si="0"/>
        <v>655008.3065774915</v>
      </c>
    </row>
    <row r="33" spans="1:11" ht="15.75" customHeight="1">
      <c r="A33" s="25"/>
      <c r="B33" s="24" t="s">
        <v>94</v>
      </c>
      <c r="C33" s="167"/>
      <c r="D33" s="166"/>
      <c r="E33" s="167"/>
      <c r="F33" s="166"/>
      <c r="G33" s="167"/>
      <c r="H33" s="166"/>
      <c r="I33" s="186"/>
      <c r="J33" s="166"/>
      <c r="K33" s="167">
        <f t="shared" si="0"/>
        <v>0</v>
      </c>
    </row>
    <row r="34" spans="1:11" ht="15.75" customHeight="1">
      <c r="A34" s="25"/>
      <c r="B34" s="24" t="s">
        <v>95</v>
      </c>
      <c r="C34" s="167">
        <f>(31828.69+87866.56+43552.53+325089.58+24407.4+813.54)/7*12</f>
        <v>880385.6571428571</v>
      </c>
      <c r="D34" s="166"/>
      <c r="E34" s="167">
        <f>(67620.15+9319.22+28887.75+338447.7+22532+718.63)/7*12</f>
        <v>801472.2000000001</v>
      </c>
      <c r="F34" s="166"/>
      <c r="G34" s="182">
        <f>E34*103%</f>
        <v>825516.366</v>
      </c>
      <c r="H34" s="166"/>
      <c r="I34" s="186">
        <f>G34*103%</f>
        <v>850281.85698</v>
      </c>
      <c r="J34" s="166"/>
      <c r="K34" s="167">
        <f t="shared" si="0"/>
        <v>875790.3126894</v>
      </c>
    </row>
    <row r="35" spans="1:11" ht="15.75" customHeight="1">
      <c r="A35" s="25"/>
      <c r="B35" s="24" t="s">
        <v>96</v>
      </c>
      <c r="C35" s="167">
        <f>(107767.05/7*12)</f>
        <v>184743.5142857143</v>
      </c>
      <c r="D35" s="166"/>
      <c r="E35" s="167">
        <f>113918.19/7*12</f>
        <v>195288.32571428572</v>
      </c>
      <c r="F35" s="166"/>
      <c r="G35" s="167">
        <f>E35</f>
        <v>195288.32571428572</v>
      </c>
      <c r="H35" s="166"/>
      <c r="I35" s="186">
        <f>G35*103%</f>
        <v>201146.9754857143</v>
      </c>
      <c r="J35" s="166"/>
      <c r="K35" s="167">
        <f t="shared" si="0"/>
        <v>207181.38475028574</v>
      </c>
    </row>
    <row r="36" spans="1:11" ht="15.75" customHeight="1">
      <c r="A36" s="25"/>
      <c r="B36" s="24" t="s">
        <v>97</v>
      </c>
      <c r="C36" s="183">
        <f>(29095006.63/7*12)-C35-C34-C32-C31-C30</f>
        <v>21062456.00571428</v>
      </c>
      <c r="D36" s="169"/>
      <c r="E36" s="183">
        <f>(29095006.63/7*12)-E35-E34-E32-E31-E30</f>
        <v>20078158.354285717</v>
      </c>
      <c r="F36" s="169"/>
      <c r="G36" s="168">
        <f>E36*103%</f>
        <v>20680503.10491429</v>
      </c>
      <c r="H36" s="169"/>
      <c r="I36" s="187">
        <f>G36*103%</f>
        <v>21300918.19806172</v>
      </c>
      <c r="J36" s="169"/>
      <c r="K36" s="168">
        <f t="shared" si="0"/>
        <v>21939945.74400357</v>
      </c>
    </row>
    <row r="37" spans="1:10" ht="15.75" customHeight="1">
      <c r="A37" s="25"/>
      <c r="B37" s="25"/>
      <c r="D37" s="25"/>
      <c r="F37" s="25"/>
      <c r="H37" s="25"/>
      <c r="J37" s="25"/>
    </row>
    <row r="38" spans="1:11" ht="15.75" customHeight="1">
      <c r="A38" s="1" t="s">
        <v>98</v>
      </c>
      <c r="B38" s="25"/>
      <c r="C38" s="31">
        <f>SUM(C30:C36)</f>
        <v>49877154.22285713</v>
      </c>
      <c r="D38" s="15"/>
      <c r="E38" s="31">
        <f>SUM(E30:E36)</f>
        <v>49877154.22285715</v>
      </c>
      <c r="F38" s="15"/>
      <c r="G38" s="31">
        <f>SUM(G30:G36)</f>
        <v>51582112.357714295</v>
      </c>
      <c r="H38" s="15"/>
      <c r="I38" s="31">
        <f>SUM(I30:I36)</f>
        <v>53129575.72844572</v>
      </c>
      <c r="J38" s="15"/>
      <c r="K38" s="31">
        <f>SUM(K30:K36)</f>
        <v>54723463.000299096</v>
      </c>
    </row>
    <row r="39" spans="1:11" ht="15.75" customHeight="1">
      <c r="A39" s="25"/>
      <c r="B39" s="25"/>
      <c r="C39" s="9"/>
      <c r="D39" s="14"/>
      <c r="E39" s="9"/>
      <c r="F39" s="14"/>
      <c r="G39" s="9"/>
      <c r="H39" s="14"/>
      <c r="I39" s="9"/>
      <c r="J39" s="14"/>
      <c r="K39" s="9"/>
    </row>
    <row r="40" spans="1:11" ht="15.75" customHeight="1">
      <c r="A40" s="1" t="s">
        <v>99</v>
      </c>
      <c r="B40" s="25"/>
      <c r="C40" s="10">
        <f>C27-C38</f>
        <v>2659656.7200000137</v>
      </c>
      <c r="D40" s="14"/>
      <c r="E40" s="10">
        <f>E27-E38</f>
        <v>264962.41714285314</v>
      </c>
      <c r="F40" s="14"/>
      <c r="G40" s="10">
        <f>G27-G38</f>
        <v>163207.2507428527</v>
      </c>
      <c r="H40" s="14"/>
      <c r="I40" s="10">
        <f>I27-I38</f>
        <v>168103.46826513857</v>
      </c>
      <c r="J40" s="14"/>
      <c r="K40" s="10">
        <f>K27-K38</f>
        <v>173146.57231309265</v>
      </c>
    </row>
    <row r="41" spans="1:11" ht="15.75" customHeight="1">
      <c r="A41" s="25"/>
      <c r="B41" s="25"/>
      <c r="C41" s="9"/>
      <c r="D41" s="14"/>
      <c r="E41" s="9"/>
      <c r="F41" s="14"/>
      <c r="G41" s="9"/>
      <c r="H41" s="14"/>
      <c r="I41" s="9"/>
      <c r="J41" s="14"/>
      <c r="K41" s="9"/>
    </row>
    <row r="42" spans="2:11" ht="15.75" customHeight="1">
      <c r="B42" s="24" t="s">
        <v>100</v>
      </c>
      <c r="C42" s="168"/>
      <c r="D42" s="169"/>
      <c r="E42" s="168"/>
      <c r="F42" s="169"/>
      <c r="G42" s="168"/>
      <c r="H42" s="169"/>
      <c r="I42" s="168"/>
      <c r="J42" s="169"/>
      <c r="K42" s="168"/>
    </row>
    <row r="43" spans="1:11" ht="15.75" customHeight="1">
      <c r="A43" s="25"/>
      <c r="B43" s="25"/>
      <c r="C43" s="26"/>
      <c r="D43" s="27"/>
      <c r="E43" s="26"/>
      <c r="F43" s="27"/>
      <c r="G43" s="26"/>
      <c r="H43" s="27"/>
      <c r="I43" s="26"/>
      <c r="J43" s="27"/>
      <c r="K43" s="26"/>
    </row>
    <row r="44" spans="1:11" ht="15.75" customHeight="1" thickBot="1">
      <c r="A44" s="1" t="s">
        <v>101</v>
      </c>
      <c r="B44" s="25"/>
      <c r="C44" s="32">
        <f>C40+C42</f>
        <v>2659656.7200000137</v>
      </c>
      <c r="D44" s="33"/>
      <c r="E44" s="32">
        <f>E40+E42</f>
        <v>264962.41714285314</v>
      </c>
      <c r="F44" s="33"/>
      <c r="G44" s="32">
        <f>G40+G42</f>
        <v>163207.2507428527</v>
      </c>
      <c r="H44" s="33"/>
      <c r="I44" s="32">
        <f>I40+I42</f>
        <v>168103.46826513857</v>
      </c>
      <c r="J44" s="33"/>
      <c r="K44" s="32">
        <f>K40+K42</f>
        <v>173146.57231309265</v>
      </c>
    </row>
    <row r="45" spans="1:10" ht="15.75" customHeight="1" thickTop="1">
      <c r="A45" s="25"/>
      <c r="B45" s="25"/>
      <c r="D45" s="25"/>
      <c r="F45" s="25"/>
      <c r="H45" s="25"/>
      <c r="J45" s="25"/>
    </row>
    <row r="46" spans="1:10" ht="15.75" customHeight="1">
      <c r="A46" s="25"/>
      <c r="B46" s="25"/>
      <c r="F46" s="25"/>
      <c r="H46" s="25"/>
      <c r="J46" s="25"/>
    </row>
    <row r="47" spans="1:10" ht="15.75" customHeight="1">
      <c r="A47" s="25" t="s">
        <v>73</v>
      </c>
      <c r="B47" s="25"/>
      <c r="F47" s="25"/>
      <c r="H47" s="25"/>
      <c r="J47" s="25"/>
    </row>
    <row r="48" spans="1:10" ht="12.75">
      <c r="A48" s="25"/>
      <c r="B48" s="25"/>
      <c r="F48" s="25"/>
      <c r="H48" s="25"/>
      <c r="J48" s="25"/>
    </row>
    <row r="49" ht="12.75">
      <c r="H49" s="25"/>
    </row>
    <row r="50" ht="12.75">
      <c r="H50" s="25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91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5" zoomScaleNormal="85" zoomScalePageLayoutView="0" workbookViewId="0" topLeftCell="A7">
      <selection activeCell="G31" sqref="G31"/>
    </sheetView>
  </sheetViews>
  <sheetFormatPr defaultColWidth="9.140625" defaultRowHeight="12.75"/>
  <cols>
    <col min="1" max="1" width="2.7109375" style="0" customWidth="1"/>
    <col min="2" max="2" width="32.8515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2" t="str">
        <f>'Table 1'!A1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77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3:11" ht="15.75" customHeight="1"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5.75" customHeight="1">
      <c r="C9" s="181">
        <f>'Table 3A'!C9</f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1:10" ht="15.75" customHeight="1">
      <c r="A10" s="1" t="s">
        <v>78</v>
      </c>
      <c r="D10" s="25"/>
      <c r="F10" s="25"/>
      <c r="H10" s="25"/>
      <c r="J10" s="25"/>
    </row>
    <row r="11" spans="2:11" ht="15.75" customHeight="1">
      <c r="B11" s="24" t="s">
        <v>79</v>
      </c>
      <c r="C11" s="129"/>
      <c r="D11" s="14"/>
      <c r="E11" s="165">
        <v>0</v>
      </c>
      <c r="F11" s="166"/>
      <c r="G11" s="165">
        <v>0</v>
      </c>
      <c r="H11" s="166"/>
      <c r="I11" s="165">
        <v>0</v>
      </c>
      <c r="J11" s="166"/>
      <c r="K11" s="165">
        <v>0</v>
      </c>
    </row>
    <row r="12" spans="2:11" ht="15.75" customHeight="1">
      <c r="B12" s="24" t="s">
        <v>80</v>
      </c>
      <c r="C12" s="129"/>
      <c r="D12" s="14"/>
      <c r="E12" s="167"/>
      <c r="F12" s="166"/>
      <c r="G12" s="167">
        <v>1727298</v>
      </c>
      <c r="H12" s="166"/>
      <c r="I12" s="167">
        <f>G12*103%</f>
        <v>1779116.94</v>
      </c>
      <c r="J12" s="166"/>
      <c r="K12" s="167">
        <f>I12*103%</f>
        <v>1832490.4482</v>
      </c>
    </row>
    <row r="13" spans="2:11" ht="15.75" customHeight="1">
      <c r="B13" s="24" t="s">
        <v>81</v>
      </c>
      <c r="C13" s="129"/>
      <c r="D13" s="14"/>
      <c r="E13" s="167">
        <v>0</v>
      </c>
      <c r="F13" s="166"/>
      <c r="G13" s="167">
        <v>0</v>
      </c>
      <c r="H13" s="166"/>
      <c r="I13" s="167">
        <v>0</v>
      </c>
      <c r="J13" s="166"/>
      <c r="K13" s="167">
        <v>0</v>
      </c>
    </row>
    <row r="14" spans="2:11" ht="15.75" customHeight="1">
      <c r="B14" s="24" t="s">
        <v>82</v>
      </c>
      <c r="C14" s="129"/>
      <c r="D14" s="14"/>
      <c r="E14" s="167">
        <v>0</v>
      </c>
      <c r="F14" s="166"/>
      <c r="G14" s="167">
        <v>0</v>
      </c>
      <c r="H14" s="166"/>
      <c r="I14" s="167">
        <v>0</v>
      </c>
      <c r="J14" s="166"/>
      <c r="K14" s="167">
        <v>0</v>
      </c>
    </row>
    <row r="15" spans="2:11" ht="15.75" customHeight="1">
      <c r="B15" s="24" t="s">
        <v>83</v>
      </c>
      <c r="C15" s="138"/>
      <c r="D15" s="15"/>
      <c r="E15" s="168">
        <v>0</v>
      </c>
      <c r="F15" s="169"/>
      <c r="G15" s="168">
        <v>0</v>
      </c>
      <c r="H15" s="169"/>
      <c r="I15" s="168">
        <v>0</v>
      </c>
      <c r="J15" s="169"/>
      <c r="K15" s="168">
        <v>0</v>
      </c>
    </row>
    <row r="16" spans="2:11" ht="15.75" customHeight="1">
      <c r="B16" s="25"/>
      <c r="C16" s="30"/>
      <c r="D16" s="27"/>
      <c r="E16" s="30"/>
      <c r="F16" s="27"/>
      <c r="G16" s="30"/>
      <c r="H16" s="27"/>
      <c r="I16" s="30"/>
      <c r="J16" s="27"/>
      <c r="K16" s="30"/>
    </row>
    <row r="17" spans="1:11" ht="15.75" customHeight="1">
      <c r="A17" s="1" t="s">
        <v>84</v>
      </c>
      <c r="C17" s="3"/>
      <c r="D17" s="14"/>
      <c r="E17" s="3">
        <f>SUM(E11:E15)</f>
        <v>0</v>
      </c>
      <c r="F17" s="14"/>
      <c r="G17" s="3">
        <f>SUM(G11:G15)</f>
        <v>1727298</v>
      </c>
      <c r="H17" s="14"/>
      <c r="I17" s="3">
        <f>SUM(I11:I15)</f>
        <v>1779116.94</v>
      </c>
      <c r="J17" s="14"/>
      <c r="K17" s="3">
        <f>SUM(K11:K15)</f>
        <v>1832490.4482</v>
      </c>
    </row>
    <row r="18" spans="2:11" ht="15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.75" customHeight="1">
      <c r="A19" s="25"/>
      <c r="B19" s="24" t="s">
        <v>85</v>
      </c>
      <c r="C19" s="129"/>
      <c r="D19" s="14"/>
      <c r="E19" s="165">
        <v>0</v>
      </c>
      <c r="F19" s="166"/>
      <c r="G19" s="165">
        <v>0</v>
      </c>
      <c r="H19" s="166"/>
      <c r="I19" s="165">
        <v>0</v>
      </c>
      <c r="J19" s="166"/>
      <c r="K19" s="165">
        <v>0</v>
      </c>
    </row>
    <row r="20" spans="1:11" ht="15.75" customHeight="1">
      <c r="A20" s="25"/>
      <c r="B20" s="24" t="s">
        <v>86</v>
      </c>
      <c r="C20" s="129"/>
      <c r="D20" s="14"/>
      <c r="E20" s="167">
        <v>0</v>
      </c>
      <c r="F20" s="166"/>
      <c r="G20" s="167">
        <v>0</v>
      </c>
      <c r="H20" s="166"/>
      <c r="I20" s="167">
        <v>0</v>
      </c>
      <c r="J20" s="166"/>
      <c r="K20" s="167">
        <v>0</v>
      </c>
    </row>
    <row r="21" spans="1:11" ht="15.75" customHeight="1">
      <c r="A21" s="25"/>
      <c r="B21" s="24" t="s">
        <v>72</v>
      </c>
      <c r="C21" s="138"/>
      <c r="D21" s="15"/>
      <c r="E21" s="168">
        <v>0</v>
      </c>
      <c r="F21" s="169"/>
      <c r="G21" s="168">
        <v>0</v>
      </c>
      <c r="H21" s="169"/>
      <c r="I21" s="168">
        <v>0</v>
      </c>
      <c r="J21" s="169"/>
      <c r="K21" s="168">
        <v>0</v>
      </c>
    </row>
    <row r="22" spans="1:11" ht="15.75" customHeight="1">
      <c r="A22" s="25"/>
      <c r="B22" s="25"/>
      <c r="C22" s="131"/>
      <c r="D22" s="14"/>
      <c r="E22" s="11"/>
      <c r="F22" s="14"/>
      <c r="G22" s="11"/>
      <c r="H22" s="14"/>
      <c r="I22" s="11"/>
      <c r="J22" s="14"/>
      <c r="K22" s="11"/>
    </row>
    <row r="23" spans="1:11" ht="15.75" customHeight="1">
      <c r="A23" s="1" t="s">
        <v>87</v>
      </c>
      <c r="B23" s="25"/>
      <c r="C23" s="129"/>
      <c r="D23" s="14"/>
      <c r="E23" s="10">
        <f>SUM(E17:E21)</f>
        <v>0</v>
      </c>
      <c r="F23" s="14"/>
      <c r="G23" s="10">
        <f>SUM(G17:G21)</f>
        <v>1727298</v>
      </c>
      <c r="H23" s="14"/>
      <c r="I23" s="10">
        <f>SUM(I17:I21)</f>
        <v>1779116.94</v>
      </c>
      <c r="J23" s="14"/>
      <c r="K23" s="10">
        <f>SUM(K17:K21)</f>
        <v>1832490.4482</v>
      </c>
    </row>
    <row r="24" spans="1:11" ht="15.75" customHeight="1">
      <c r="A24" s="25"/>
      <c r="B24" s="25"/>
      <c r="C24" s="131"/>
      <c r="D24" s="14"/>
      <c r="E24" s="11"/>
      <c r="F24" s="14"/>
      <c r="G24" s="11"/>
      <c r="H24" s="14"/>
      <c r="I24" s="11"/>
      <c r="J24" s="14"/>
      <c r="K24" s="11"/>
    </row>
    <row r="25" spans="2:11" ht="15.75" customHeight="1">
      <c r="B25" s="24" t="s">
        <v>88</v>
      </c>
      <c r="C25" s="138"/>
      <c r="D25" s="15"/>
      <c r="E25" s="168">
        <v>0</v>
      </c>
      <c r="F25" s="169"/>
      <c r="G25" s="168">
        <v>0</v>
      </c>
      <c r="H25" s="169"/>
      <c r="I25" s="168">
        <v>0</v>
      </c>
      <c r="J25" s="169"/>
      <c r="K25" s="168">
        <v>0</v>
      </c>
    </row>
    <row r="26" spans="1:11" ht="15.75" customHeight="1">
      <c r="A26" s="25"/>
      <c r="B26" s="25"/>
      <c r="C26" s="132"/>
      <c r="D26" s="14"/>
      <c r="E26" s="10"/>
      <c r="F26" s="14"/>
      <c r="G26" s="10"/>
      <c r="H26" s="14"/>
      <c r="I26" s="10"/>
      <c r="J26" s="14"/>
      <c r="K26" s="10"/>
    </row>
    <row r="27" spans="1:11" ht="15.75" customHeight="1">
      <c r="A27" s="1" t="s">
        <v>89</v>
      </c>
      <c r="B27" s="25"/>
      <c r="C27" s="138"/>
      <c r="D27" s="15"/>
      <c r="E27" s="31">
        <f>E23+E25</f>
        <v>0</v>
      </c>
      <c r="F27" s="15"/>
      <c r="G27" s="31">
        <f>G23+G25</f>
        <v>1727298</v>
      </c>
      <c r="H27" s="15"/>
      <c r="I27" s="31">
        <f>I23+I25</f>
        <v>1779116.94</v>
      </c>
      <c r="J27" s="15"/>
      <c r="K27" s="31">
        <f>K23+K25</f>
        <v>1832490.4482</v>
      </c>
    </row>
    <row r="28" spans="1:12" ht="15.75" customHeight="1">
      <c r="A28" s="25"/>
      <c r="B28" s="25"/>
      <c r="C28" s="28"/>
      <c r="D28" s="25"/>
      <c r="E28" s="25"/>
      <c r="F28" s="25"/>
      <c r="G28" s="25"/>
      <c r="H28" s="25"/>
      <c r="I28" s="25"/>
      <c r="J28" s="25"/>
      <c r="K28" s="25"/>
      <c r="L28" s="25"/>
    </row>
    <row r="29" spans="1:11" ht="15.75" customHeight="1">
      <c r="A29" s="1" t="s">
        <v>90</v>
      </c>
      <c r="B29" s="25"/>
      <c r="C29" s="132"/>
      <c r="D29" s="14"/>
      <c r="E29" s="10"/>
      <c r="F29" s="14"/>
      <c r="G29" s="10"/>
      <c r="H29" s="14"/>
      <c r="I29" s="10"/>
      <c r="J29" s="14"/>
      <c r="K29" s="10"/>
    </row>
    <row r="30" spans="1:11" ht="15.75" customHeight="1">
      <c r="A30" s="25"/>
      <c r="B30" s="24" t="s">
        <v>91</v>
      </c>
      <c r="C30" s="129"/>
      <c r="D30" s="14"/>
      <c r="E30" s="165">
        <v>0</v>
      </c>
      <c r="F30" s="166"/>
      <c r="G30" s="165">
        <v>824456</v>
      </c>
      <c r="H30" s="166"/>
      <c r="I30" s="165">
        <f>G30*103%</f>
        <v>849189.68</v>
      </c>
      <c r="J30" s="166"/>
      <c r="K30" s="184">
        <f>I30*103%</f>
        <v>874665.3704000001</v>
      </c>
    </row>
    <row r="31" spans="1:11" ht="15.75" customHeight="1">
      <c r="A31" s="25"/>
      <c r="B31" s="24" t="s">
        <v>92</v>
      </c>
      <c r="C31" s="129"/>
      <c r="D31" s="14"/>
      <c r="E31" s="167">
        <v>0</v>
      </c>
      <c r="F31" s="166"/>
      <c r="G31" s="167">
        <v>297194</v>
      </c>
      <c r="H31" s="166"/>
      <c r="I31" s="167">
        <f>G31*103%</f>
        <v>306109.82</v>
      </c>
      <c r="J31" s="166"/>
      <c r="K31" s="182">
        <f>I31*103%</f>
        <v>315293.11460000003</v>
      </c>
    </row>
    <row r="32" spans="1:11" ht="15.75" customHeight="1">
      <c r="A32" s="25"/>
      <c r="B32" s="24" t="s">
        <v>93</v>
      </c>
      <c r="C32" s="129"/>
      <c r="D32" s="14"/>
      <c r="E32" s="167">
        <v>0</v>
      </c>
      <c r="F32" s="166"/>
      <c r="G32" s="167">
        <f>67875+36400</f>
        <v>104275</v>
      </c>
      <c r="H32" s="166"/>
      <c r="I32" s="167">
        <f>G32*103%</f>
        <v>107403.25</v>
      </c>
      <c r="J32" s="166"/>
      <c r="K32" s="182">
        <f>I32*103%</f>
        <v>110625.3475</v>
      </c>
    </row>
    <row r="33" spans="1:11" ht="15.75" customHeight="1">
      <c r="A33" s="25"/>
      <c r="B33" s="24" t="s">
        <v>94</v>
      </c>
      <c r="C33" s="129"/>
      <c r="D33" s="14"/>
      <c r="E33" s="167">
        <v>0</v>
      </c>
      <c r="F33" s="166"/>
      <c r="G33" s="167">
        <v>0</v>
      </c>
      <c r="H33" s="166"/>
      <c r="I33" s="167">
        <v>0</v>
      </c>
      <c r="J33" s="166"/>
      <c r="K33" s="167">
        <v>0</v>
      </c>
    </row>
    <row r="34" spans="1:11" ht="15.75" customHeight="1">
      <c r="A34" s="25"/>
      <c r="B34" s="24" t="s">
        <v>95</v>
      </c>
      <c r="C34" s="129"/>
      <c r="D34" s="14"/>
      <c r="E34" s="167">
        <v>0</v>
      </c>
      <c r="F34" s="166"/>
      <c r="G34" s="167">
        <v>50000</v>
      </c>
      <c r="H34" s="166"/>
      <c r="I34" s="167">
        <f>G34*103%</f>
        <v>51500</v>
      </c>
      <c r="J34" s="166"/>
      <c r="K34" s="182">
        <f>I34*103%</f>
        <v>53045</v>
      </c>
    </row>
    <row r="35" spans="1:11" ht="15.75" customHeight="1">
      <c r="A35" s="25"/>
      <c r="B35" s="24" t="s">
        <v>96</v>
      </c>
      <c r="C35" s="129"/>
      <c r="D35" s="14"/>
      <c r="E35" s="167">
        <v>0</v>
      </c>
      <c r="F35" s="166"/>
      <c r="G35" s="167">
        <v>0</v>
      </c>
      <c r="H35" s="166"/>
      <c r="I35" s="167">
        <v>0</v>
      </c>
      <c r="J35" s="166"/>
      <c r="K35" s="167">
        <v>0</v>
      </c>
    </row>
    <row r="36" spans="1:11" ht="15.75" customHeight="1">
      <c r="A36" s="25"/>
      <c r="B36" s="24" t="s">
        <v>97</v>
      </c>
      <c r="C36" s="138"/>
      <c r="D36" s="15"/>
      <c r="E36" s="168">
        <v>0</v>
      </c>
      <c r="F36" s="169"/>
      <c r="G36" s="168">
        <v>451373</v>
      </c>
      <c r="H36" s="169"/>
      <c r="I36" s="168">
        <f>G36*103%</f>
        <v>464914.19</v>
      </c>
      <c r="J36" s="169"/>
      <c r="K36" s="183">
        <f>I36*103%</f>
        <v>478861.6157</v>
      </c>
    </row>
    <row r="37" spans="1:10" ht="15.75" customHeight="1">
      <c r="A37" s="25"/>
      <c r="B37" s="25"/>
      <c r="C37" s="123"/>
      <c r="D37" s="25"/>
      <c r="F37" s="25"/>
      <c r="H37" s="25"/>
      <c r="J37" s="25"/>
    </row>
    <row r="38" spans="1:11" ht="15.75" customHeight="1" thickBot="1">
      <c r="A38" s="1" t="s">
        <v>98</v>
      </c>
      <c r="B38" s="25"/>
      <c r="C38" s="135"/>
      <c r="D38" s="15"/>
      <c r="E38" s="31">
        <f>SUM(E30:E36)</f>
        <v>0</v>
      </c>
      <c r="F38" s="15"/>
      <c r="G38" s="31">
        <f>SUM(G30:G36)</f>
        <v>1727298</v>
      </c>
      <c r="H38" s="15"/>
      <c r="I38" s="31">
        <f>SUM(I30:I36)</f>
        <v>1779116.94</v>
      </c>
      <c r="J38" s="15"/>
      <c r="K38" s="31">
        <f>SUM(K30:K36)</f>
        <v>1832490.4482</v>
      </c>
    </row>
    <row r="39" spans="1:11" ht="15.75" customHeight="1" thickTop="1">
      <c r="A39" s="25"/>
      <c r="B39" s="25"/>
      <c r="C39" s="133"/>
      <c r="D39" s="14"/>
      <c r="E39" s="9"/>
      <c r="F39" s="14"/>
      <c r="G39" s="9"/>
      <c r="H39" s="14"/>
      <c r="I39" s="9"/>
      <c r="J39" s="14"/>
      <c r="K39" s="9"/>
    </row>
    <row r="40" spans="1:11" ht="15.75" customHeight="1">
      <c r="A40" s="1" t="s">
        <v>99</v>
      </c>
      <c r="B40" s="25"/>
      <c r="C40" s="129"/>
      <c r="D40" s="14"/>
      <c r="E40" s="10">
        <f>E27-E38</f>
        <v>0</v>
      </c>
      <c r="F40" s="14"/>
      <c r="G40" s="10">
        <f>G27-G38</f>
        <v>0</v>
      </c>
      <c r="H40" s="14"/>
      <c r="I40" s="10">
        <f>I27-I38</f>
        <v>0</v>
      </c>
      <c r="J40" s="14"/>
      <c r="K40" s="10">
        <f>K27-K38</f>
        <v>0</v>
      </c>
    </row>
    <row r="41" spans="1:11" ht="15.75" customHeight="1">
      <c r="A41" s="25"/>
      <c r="B41" s="25"/>
      <c r="C41" s="133"/>
      <c r="D41" s="14"/>
      <c r="E41" s="9"/>
      <c r="F41" s="14"/>
      <c r="G41" s="9"/>
      <c r="H41" s="14"/>
      <c r="I41" s="9"/>
      <c r="J41" s="14"/>
      <c r="K41" s="9"/>
    </row>
    <row r="42" spans="2:11" ht="15.75" customHeight="1" thickBot="1">
      <c r="B42" s="24" t="s">
        <v>100</v>
      </c>
      <c r="C42" s="135"/>
      <c r="D42" s="15"/>
      <c r="E42" s="168">
        <v>0</v>
      </c>
      <c r="F42" s="169"/>
      <c r="G42" s="168">
        <v>0</v>
      </c>
      <c r="H42" s="169"/>
      <c r="I42" s="168">
        <v>0</v>
      </c>
      <c r="J42" s="169"/>
      <c r="K42" s="168">
        <v>0</v>
      </c>
    </row>
    <row r="43" spans="1:11" ht="15.75" customHeight="1" thickTop="1">
      <c r="A43" s="25"/>
      <c r="B43" s="25"/>
      <c r="C43" s="134"/>
      <c r="D43" s="27"/>
      <c r="E43" s="26"/>
      <c r="F43" s="27"/>
      <c r="G43" s="26"/>
      <c r="H43" s="27"/>
      <c r="I43" s="26"/>
      <c r="J43" s="27"/>
      <c r="K43" s="26"/>
    </row>
    <row r="44" spans="1:11" ht="15.75" customHeight="1" thickBot="1">
      <c r="A44" s="1" t="s">
        <v>101</v>
      </c>
      <c r="B44" s="25"/>
      <c r="C44" s="135"/>
      <c r="D44" s="33"/>
      <c r="E44" s="32">
        <f>E40+E42</f>
        <v>0</v>
      </c>
      <c r="F44" s="33"/>
      <c r="G44" s="32">
        <f>G40+G42</f>
        <v>0</v>
      </c>
      <c r="H44" s="33"/>
      <c r="I44" s="32">
        <f>I40+I42</f>
        <v>0</v>
      </c>
      <c r="J44" s="33"/>
      <c r="K44" s="32">
        <f>K40+K42</f>
        <v>0</v>
      </c>
    </row>
    <row r="45" spans="1:10" ht="15.75" customHeight="1" thickTop="1">
      <c r="A45" s="25"/>
      <c r="B45" s="25"/>
      <c r="D45" s="25"/>
      <c r="F45" s="25"/>
      <c r="H45" s="25"/>
      <c r="J45" s="25"/>
    </row>
    <row r="46" spans="1:10" ht="15.75" customHeight="1">
      <c r="A46" s="25"/>
      <c r="B46" s="25"/>
      <c r="F46" s="25"/>
      <c r="H46" s="25"/>
      <c r="J46" s="25"/>
    </row>
    <row r="47" spans="1:10" ht="15.75" customHeight="1">
      <c r="A47" s="25" t="s">
        <v>73</v>
      </c>
      <c r="B47" s="25"/>
      <c r="F47" s="25"/>
      <c r="H47" s="25"/>
      <c r="J47" s="25"/>
    </row>
    <row r="48" spans="1:10" ht="12.75">
      <c r="A48" s="25"/>
      <c r="B48" s="25"/>
      <c r="F48" s="25"/>
      <c r="H48" s="25"/>
      <c r="J48" s="25"/>
    </row>
    <row r="49" ht="12.75">
      <c r="H49" s="25"/>
    </row>
    <row r="50" ht="12.75">
      <c r="H50" s="25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92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5" zoomScaleNormal="85" zoomScalePageLayoutView="0" workbookViewId="0" topLeftCell="A10">
      <selection activeCell="C9" sqref="C9:K9"/>
    </sheetView>
  </sheetViews>
  <sheetFormatPr defaultColWidth="9.140625" defaultRowHeight="12.75"/>
  <cols>
    <col min="1" max="1" width="2.7109375" style="0" customWidth="1"/>
    <col min="2" max="2" width="32.8515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2" t="str">
        <f>'Table 1'!A1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77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3:11" ht="15.75" customHeight="1"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5.75" customHeight="1">
      <c r="C9" s="181">
        <f>'Table 3A'!C9</f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1:10" ht="15.75" customHeight="1">
      <c r="A10" s="1" t="s">
        <v>78</v>
      </c>
      <c r="D10" s="25"/>
      <c r="F10" s="25"/>
      <c r="H10" s="25"/>
      <c r="J10" s="25"/>
    </row>
    <row r="11" spans="2:11" ht="15.75" customHeight="1">
      <c r="B11" s="25" t="s">
        <v>79</v>
      </c>
      <c r="C11" s="10">
        <f>'Table 3A'!C11+'Table 3B'!C11</f>
        <v>0</v>
      </c>
      <c r="D11" s="14"/>
      <c r="E11" s="10">
        <f>'Table 3A'!E11+'Table 3B'!E11</f>
        <v>0</v>
      </c>
      <c r="F11" s="14"/>
      <c r="G11" s="10">
        <f>'Table 3A'!G11+'Table 3B'!G11</f>
        <v>0</v>
      </c>
      <c r="H11" s="14"/>
      <c r="I11" s="10">
        <f>'Table 3A'!I11+'Table 3B'!I11</f>
        <v>0</v>
      </c>
      <c r="J11" s="14"/>
      <c r="K11" s="10">
        <f>'Table 3A'!K11+'Table 3B'!K11</f>
        <v>0</v>
      </c>
    </row>
    <row r="12" spans="2:11" ht="15.75" customHeight="1">
      <c r="B12" s="25" t="s">
        <v>80</v>
      </c>
      <c r="C12" s="11">
        <f>'Table 3A'!C12+'Table 3B'!C12</f>
        <v>46845361.71428572</v>
      </c>
      <c r="D12" s="14"/>
      <c r="E12" s="11">
        <f>'Table 3A'!E12+'Table 3B'!E12</f>
        <v>46749303.977142856</v>
      </c>
      <c r="F12" s="14"/>
      <c r="G12" s="11">
        <f>'Table 3A'!G12+'Table 3B'!G12</f>
        <v>49978020.56571429</v>
      </c>
      <c r="H12" s="14"/>
      <c r="I12" s="11">
        <f>'Table 3A'!I12+'Table 3B'!I12</f>
        <v>51477361.18268572</v>
      </c>
      <c r="J12" s="14"/>
      <c r="K12" s="11">
        <f>'Table 3A'!K12+'Table 3B'!K12</f>
        <v>53021682.018166296</v>
      </c>
    </row>
    <row r="13" spans="2:11" ht="15.75" customHeight="1">
      <c r="B13" s="25" t="s">
        <v>81</v>
      </c>
      <c r="C13" s="11">
        <f>'Table 3A'!C13+'Table 3B'!C13</f>
        <v>0</v>
      </c>
      <c r="D13" s="14"/>
      <c r="E13" s="11">
        <f>'Table 3A'!E13+'Table 3B'!E13</f>
        <v>0</v>
      </c>
      <c r="F13" s="14"/>
      <c r="G13" s="11">
        <f>'Table 3A'!G13+'Table 3B'!G13</f>
        <v>0</v>
      </c>
      <c r="H13" s="14"/>
      <c r="I13" s="11">
        <f>'Table 3A'!I13+'Table 3B'!I13</f>
        <v>0</v>
      </c>
      <c r="J13" s="14"/>
      <c r="K13" s="11">
        <f>'Table 3A'!K13+'Table 3B'!K13</f>
        <v>0</v>
      </c>
    </row>
    <row r="14" spans="2:11" ht="15.75" customHeight="1">
      <c r="B14" s="25" t="s">
        <v>82</v>
      </c>
      <c r="C14" s="11">
        <f>'Table 3A'!C14+'Table 3B'!C14</f>
        <v>0</v>
      </c>
      <c r="D14" s="14"/>
      <c r="E14" s="11">
        <f>'Table 3A'!E14+'Table 3B'!E14</f>
        <v>0</v>
      </c>
      <c r="F14" s="14"/>
      <c r="G14" s="11">
        <f>'Table 3A'!G14+'Table 3B'!G14</f>
        <v>0</v>
      </c>
      <c r="H14" s="14"/>
      <c r="I14" s="11">
        <f>'Table 3A'!I14+'Table 3B'!I14</f>
        <v>0</v>
      </c>
      <c r="J14" s="14"/>
      <c r="K14" s="11">
        <f>'Table 3A'!K14+'Table 3B'!K14</f>
        <v>0</v>
      </c>
    </row>
    <row r="15" spans="2:11" ht="15.75" customHeight="1">
      <c r="B15" s="25" t="s">
        <v>83</v>
      </c>
      <c r="C15" s="12">
        <f>'Table 3A'!C15+'Table 3B'!C15</f>
        <v>0</v>
      </c>
      <c r="D15" s="15"/>
      <c r="E15" s="12">
        <f>'Table 3A'!E15+'Table 3B'!E15</f>
        <v>0</v>
      </c>
      <c r="F15" s="15"/>
      <c r="G15" s="12">
        <f>'Table 3A'!G15+'Table 3B'!G15</f>
        <v>0</v>
      </c>
      <c r="H15" s="15"/>
      <c r="I15" s="12">
        <f>'Table 3A'!I15+'Table 3B'!I15</f>
        <v>0</v>
      </c>
      <c r="J15" s="15"/>
      <c r="K15" s="12">
        <f>'Table 3A'!K15+'Table 3B'!K15</f>
        <v>0</v>
      </c>
    </row>
    <row r="16" spans="2:11" ht="15.75" customHeight="1">
      <c r="B16" s="25"/>
      <c r="C16" s="30"/>
      <c r="D16" s="27"/>
      <c r="E16" s="30"/>
      <c r="F16" s="27"/>
      <c r="G16" s="30"/>
      <c r="H16" s="27"/>
      <c r="I16" s="30"/>
      <c r="J16" s="27"/>
      <c r="K16" s="30"/>
    </row>
    <row r="17" spans="1:11" ht="15.75" customHeight="1">
      <c r="A17" s="1" t="s">
        <v>84</v>
      </c>
      <c r="B17" s="25"/>
      <c r="C17" s="10">
        <f>SUM(C11:C15)</f>
        <v>46845361.71428572</v>
      </c>
      <c r="D17" s="14"/>
      <c r="E17" s="10">
        <f>SUM(E11:E15)</f>
        <v>46749303.977142856</v>
      </c>
      <c r="F17" s="14"/>
      <c r="G17" s="10">
        <f>SUM(G11:G15)</f>
        <v>49978020.56571429</v>
      </c>
      <c r="H17" s="14"/>
      <c r="I17" s="10">
        <f>SUM(I11:I15)</f>
        <v>51477361.18268572</v>
      </c>
      <c r="J17" s="14"/>
      <c r="K17" s="10">
        <f>SUM(K11:K15)</f>
        <v>53021682.018166296</v>
      </c>
    </row>
    <row r="18" spans="2:11" ht="15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.75" customHeight="1">
      <c r="A19" s="25"/>
      <c r="B19" s="25" t="s">
        <v>85</v>
      </c>
      <c r="C19" s="10">
        <f>'Table 3A'!C19+'Table 3B'!C19</f>
        <v>0</v>
      </c>
      <c r="D19" s="14"/>
      <c r="E19" s="10">
        <f>'Table 3A'!E19+'Table 3B'!E19</f>
        <v>0</v>
      </c>
      <c r="F19" s="14"/>
      <c r="G19" s="10">
        <f>'Table 3A'!G19+'Table 3B'!G19</f>
        <v>0</v>
      </c>
      <c r="H19" s="14"/>
      <c r="I19" s="10">
        <f>'Table 3A'!I19+'Table 3B'!I19</f>
        <v>0</v>
      </c>
      <c r="J19" s="14"/>
      <c r="K19" s="10">
        <f>'Table 3A'!K19+'Table 3B'!K19</f>
        <v>0</v>
      </c>
    </row>
    <row r="20" spans="1:11" ht="15.75" customHeight="1">
      <c r="A20" s="25"/>
      <c r="B20" s="25" t="s">
        <v>86</v>
      </c>
      <c r="C20" s="11">
        <f>'Table 3A'!C20+'Table 3B'!C20</f>
        <v>0</v>
      </c>
      <c r="D20" s="14"/>
      <c r="E20" s="11">
        <f>'Table 3A'!E20+'Table 3B'!E20</f>
        <v>0</v>
      </c>
      <c r="F20" s="14"/>
      <c r="G20" s="11">
        <f>'Table 3A'!G20+'Table 3B'!G20</f>
        <v>0</v>
      </c>
      <c r="H20" s="14"/>
      <c r="I20" s="11">
        <f>'Table 3A'!I20+'Table 3B'!I20</f>
        <v>0</v>
      </c>
      <c r="J20" s="14"/>
      <c r="K20" s="11">
        <f>'Table 3A'!K20+'Table 3B'!K20</f>
        <v>0</v>
      </c>
    </row>
    <row r="21" spans="1:11" ht="15.75" customHeight="1">
      <c r="A21" s="25"/>
      <c r="B21" s="25" t="s">
        <v>72</v>
      </c>
      <c r="C21" s="12">
        <f>'Table 3A'!C21+'Table 3B'!C21</f>
        <v>0</v>
      </c>
      <c r="D21" s="15"/>
      <c r="E21" s="12">
        <f>'Table 3A'!E21+'Table 3B'!E21</f>
        <v>0</v>
      </c>
      <c r="F21" s="15"/>
      <c r="G21" s="12">
        <f>'Table 3A'!G21+'Table 3B'!G21</f>
        <v>0</v>
      </c>
      <c r="H21" s="15"/>
      <c r="I21" s="12">
        <f>'Table 3A'!I21+'Table 3B'!I21</f>
        <v>0</v>
      </c>
      <c r="J21" s="15"/>
      <c r="K21" s="12">
        <f>'Table 3A'!K21+'Table 3B'!K21</f>
        <v>0</v>
      </c>
    </row>
    <row r="22" spans="1:11" ht="15.75" customHeight="1">
      <c r="A22" s="25"/>
      <c r="B22" s="25"/>
      <c r="C22" s="11"/>
      <c r="D22" s="14"/>
      <c r="E22" s="11"/>
      <c r="F22" s="14"/>
      <c r="G22" s="11"/>
      <c r="H22" s="14"/>
      <c r="I22" s="11"/>
      <c r="J22" s="14"/>
      <c r="K22" s="11"/>
    </row>
    <row r="23" spans="1:11" ht="15.75" customHeight="1">
      <c r="A23" s="1" t="s">
        <v>87</v>
      </c>
      <c r="B23" s="25"/>
      <c r="C23" s="10">
        <f>SUM(C17:C21)</f>
        <v>46845361.71428572</v>
      </c>
      <c r="D23" s="14"/>
      <c r="E23" s="10">
        <f>SUM(E17:E21)</f>
        <v>46749303.977142856</v>
      </c>
      <c r="F23" s="14"/>
      <c r="G23" s="10">
        <f>SUM(G17:G21)</f>
        <v>49978020.56571429</v>
      </c>
      <c r="H23" s="14"/>
      <c r="I23" s="10">
        <f>SUM(I17:I21)</f>
        <v>51477361.18268572</v>
      </c>
      <c r="J23" s="14"/>
      <c r="K23" s="10">
        <f>SUM(K17:K21)</f>
        <v>53021682.018166296</v>
      </c>
    </row>
    <row r="24" spans="1:11" ht="15.75" customHeight="1">
      <c r="A24" s="25"/>
      <c r="B24" s="25"/>
      <c r="C24" s="11"/>
      <c r="D24" s="14"/>
      <c r="E24" s="11"/>
      <c r="F24" s="14"/>
      <c r="G24" s="11"/>
      <c r="H24" s="14"/>
      <c r="I24" s="11"/>
      <c r="J24" s="14"/>
      <c r="K24" s="11"/>
    </row>
    <row r="25" spans="2:11" ht="15.75" customHeight="1">
      <c r="B25" s="25" t="s">
        <v>88</v>
      </c>
      <c r="C25" s="12">
        <f>'Table 3A'!C25+'Table 3B'!C25</f>
        <v>5691449.228571428</v>
      </c>
      <c r="D25" s="15"/>
      <c r="E25" s="12">
        <f>'Table 3A'!E25+'Table 3B'!E25</f>
        <v>3392812.6628571423</v>
      </c>
      <c r="F25" s="15"/>
      <c r="G25" s="12">
        <f>'Table 3A'!G25+'Table 3B'!G25</f>
        <v>3494597.042742857</v>
      </c>
      <c r="H25" s="15"/>
      <c r="I25" s="12">
        <f>'Table 3A'!I25+'Table 3B'!I25</f>
        <v>3599434.9540251424</v>
      </c>
      <c r="J25" s="15"/>
      <c r="K25" s="12">
        <f>'Table 3A'!K25+'Table 3B'!K25</f>
        <v>3707418.0026458967</v>
      </c>
    </row>
    <row r="26" spans="1:11" ht="15.75" customHeight="1">
      <c r="A26" s="25"/>
      <c r="B26" s="25"/>
      <c r="C26" s="10"/>
      <c r="D26" s="14"/>
      <c r="E26" s="10"/>
      <c r="F26" s="14"/>
      <c r="G26" s="10"/>
      <c r="H26" s="14"/>
      <c r="I26" s="10"/>
      <c r="J26" s="14"/>
      <c r="K26" s="10"/>
    </row>
    <row r="27" spans="1:11" ht="15.75" customHeight="1">
      <c r="A27" s="1" t="s">
        <v>89</v>
      </c>
      <c r="B27" s="25"/>
      <c r="C27" s="31">
        <f>C23+C25</f>
        <v>52536810.942857146</v>
      </c>
      <c r="D27" s="15"/>
      <c r="E27" s="31">
        <f>E23+E25</f>
        <v>50142116.64</v>
      </c>
      <c r="F27" s="15"/>
      <c r="G27" s="31">
        <f>G23+G25</f>
        <v>53472617.60845715</v>
      </c>
      <c r="H27" s="15"/>
      <c r="I27" s="31">
        <f>I23+I25</f>
        <v>55076796.13671086</v>
      </c>
      <c r="J27" s="15"/>
      <c r="K27" s="31">
        <f>K23+K25</f>
        <v>56729100.02081219</v>
      </c>
    </row>
    <row r="28" spans="1:12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1" ht="15.75" customHeight="1">
      <c r="A29" s="1" t="s">
        <v>90</v>
      </c>
      <c r="B29" s="25"/>
      <c r="C29" s="10"/>
      <c r="D29" s="14"/>
      <c r="E29" s="10"/>
      <c r="F29" s="14"/>
      <c r="G29" s="10"/>
      <c r="H29" s="14"/>
      <c r="I29" s="10"/>
      <c r="J29" s="14"/>
      <c r="K29" s="10"/>
    </row>
    <row r="30" spans="1:11" ht="15.75" customHeight="1">
      <c r="A30" s="25"/>
      <c r="B30" s="25" t="s">
        <v>91</v>
      </c>
      <c r="C30" s="10">
        <f>'Table 3A'!C30+'Table 3B'!C30</f>
        <v>20647301.691428576</v>
      </c>
      <c r="D30" s="14"/>
      <c r="E30" s="10">
        <f>'Table 3A'!E30+'Table 3B'!E30</f>
        <v>21450215.794285715</v>
      </c>
      <c r="F30" s="14"/>
      <c r="G30" s="10">
        <f>'Table 3A'!G30+'Table 3B'!G30</f>
        <v>23132680.426057145</v>
      </c>
      <c r="H30" s="14"/>
      <c r="I30" s="10">
        <f>'Table 3A'!I30+'Table 3B'!I30</f>
        <v>23826660.83883886</v>
      </c>
      <c r="J30" s="14"/>
      <c r="K30" s="10">
        <f>'Table 3A'!K30+'Table 3B'!K30</f>
        <v>24541460.664004028</v>
      </c>
    </row>
    <row r="31" spans="1:11" ht="15.75" customHeight="1">
      <c r="A31" s="25"/>
      <c r="B31" s="25" t="s">
        <v>92</v>
      </c>
      <c r="C31" s="11">
        <f>'Table 3A'!C31+'Table 3B'!C31</f>
        <v>6338598.222857144</v>
      </c>
      <c r="D31" s="14"/>
      <c r="E31" s="11">
        <f>'Table 3A'!E31+'Table 3B'!E31</f>
        <v>6752594.159999999</v>
      </c>
      <c r="F31" s="14"/>
      <c r="G31" s="11">
        <f>'Table 3A'!G31+'Table 3B'!G31</f>
        <v>7252365.9848</v>
      </c>
      <c r="H31" s="14"/>
      <c r="I31" s="11">
        <f>'Table 3A'!I31+'Table 3B'!I31</f>
        <v>7469936.964344</v>
      </c>
      <c r="J31" s="14"/>
      <c r="K31" s="11">
        <f>'Table 3A'!K31+'Table 3B'!K31</f>
        <v>7694035.07327432</v>
      </c>
    </row>
    <row r="32" spans="1:11" ht="15.75" customHeight="1">
      <c r="A32" s="25"/>
      <c r="B32" s="25" t="s">
        <v>93</v>
      </c>
      <c r="C32" s="11">
        <f>'Table 3A'!C32+'Table 3B'!C32</f>
        <v>763669.1314285714</v>
      </c>
      <c r="D32" s="14"/>
      <c r="E32" s="11">
        <f>'Table 3A'!E32+'Table 3B'!E32</f>
        <v>599425.3885714286</v>
      </c>
      <c r="F32" s="14"/>
      <c r="G32" s="11">
        <f>'Table 3A'!G32+'Table 3B'!G32</f>
        <v>721683.1502285715</v>
      </c>
      <c r="H32" s="14"/>
      <c r="I32" s="11">
        <f>'Table 3A'!I32+'Table 3B'!I32</f>
        <v>743333.6447354286</v>
      </c>
      <c r="J32" s="14"/>
      <c r="K32" s="11">
        <f>'Table 3A'!K32+'Table 3B'!K32</f>
        <v>765633.6540774915</v>
      </c>
    </row>
    <row r="33" spans="1:11" ht="15.75" customHeight="1">
      <c r="A33" s="25"/>
      <c r="B33" s="25" t="s">
        <v>94</v>
      </c>
      <c r="C33" s="11">
        <f>'Table 3A'!C33+'Table 3B'!C33</f>
        <v>0</v>
      </c>
      <c r="D33" s="14"/>
      <c r="E33" s="11">
        <f>'Table 3A'!E33+'Table 3B'!E33</f>
        <v>0</v>
      </c>
      <c r="F33" s="14"/>
      <c r="G33" s="11">
        <f>'Table 3A'!G33+'Table 3B'!G33</f>
        <v>0</v>
      </c>
      <c r="H33" s="14"/>
      <c r="I33" s="11">
        <f>'Table 3A'!I33+'Table 3B'!I33</f>
        <v>0</v>
      </c>
      <c r="J33" s="14"/>
      <c r="K33" s="11">
        <f>'Table 3A'!K33+'Table 3B'!K33</f>
        <v>0</v>
      </c>
    </row>
    <row r="34" spans="1:11" ht="15.75" customHeight="1">
      <c r="A34" s="25"/>
      <c r="B34" s="25" t="s">
        <v>95</v>
      </c>
      <c r="C34" s="11">
        <f>'Table 3A'!C34+'Table 3B'!C34</f>
        <v>880385.6571428571</v>
      </c>
      <c r="D34" s="14"/>
      <c r="E34" s="11">
        <f>'Table 3A'!E34+'Table 3B'!E34</f>
        <v>801472.2000000001</v>
      </c>
      <c r="F34" s="14"/>
      <c r="G34" s="11">
        <f>'Table 3A'!G34+'Table 3B'!G34</f>
        <v>875516.366</v>
      </c>
      <c r="H34" s="14"/>
      <c r="I34" s="11">
        <f>'Table 3A'!I34+'Table 3B'!I34</f>
        <v>901781.85698</v>
      </c>
      <c r="J34" s="14"/>
      <c r="K34" s="11">
        <f>'Table 3A'!K34+'Table 3B'!K34</f>
        <v>928835.3126894</v>
      </c>
    </row>
    <row r="35" spans="1:11" ht="15.75" customHeight="1">
      <c r="A35" s="25"/>
      <c r="B35" s="25" t="s">
        <v>96</v>
      </c>
      <c r="C35" s="11">
        <f>'Table 3A'!C35+'Table 3B'!C35</f>
        <v>184743.5142857143</v>
      </c>
      <c r="D35" s="14"/>
      <c r="E35" s="11">
        <f>'Table 3A'!E35+'Table 3B'!E35</f>
        <v>195288.32571428572</v>
      </c>
      <c r="F35" s="14"/>
      <c r="G35" s="11">
        <f>'Table 3A'!G35+'Table 3B'!G35</f>
        <v>195288.32571428572</v>
      </c>
      <c r="H35" s="14"/>
      <c r="I35" s="11">
        <f>'Table 3A'!I35+'Table 3B'!I35</f>
        <v>201146.9754857143</v>
      </c>
      <c r="J35" s="14"/>
      <c r="K35" s="11">
        <f>'Table 3A'!K35+'Table 3B'!K35</f>
        <v>207181.38475028574</v>
      </c>
    </row>
    <row r="36" spans="1:11" ht="15.75" customHeight="1">
      <c r="A36" s="25"/>
      <c r="B36" s="25" t="s">
        <v>97</v>
      </c>
      <c r="C36" s="12">
        <f>'Table 3A'!C36+'Table 3B'!C36</f>
        <v>21062456.00571428</v>
      </c>
      <c r="D36" s="15"/>
      <c r="E36" s="12">
        <f>'Table 3A'!E36+'Table 3B'!E36</f>
        <v>20078158.354285717</v>
      </c>
      <c r="F36" s="15"/>
      <c r="G36" s="12">
        <f>'Table 3A'!G36+'Table 3B'!G36</f>
        <v>21131876.10491429</v>
      </c>
      <c r="H36" s="15"/>
      <c r="I36" s="12">
        <f>'Table 3A'!I36+'Table 3B'!I36</f>
        <v>21765832.38806172</v>
      </c>
      <c r="J36" s="15"/>
      <c r="K36" s="12">
        <f>'Table 3A'!K36+'Table 3B'!K36</f>
        <v>22418807.35970357</v>
      </c>
    </row>
    <row r="37" spans="1:11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 customHeight="1">
      <c r="A38" s="1" t="s">
        <v>98</v>
      </c>
      <c r="B38" s="25"/>
      <c r="C38" s="31">
        <f>SUM(C30:C36)</f>
        <v>49877154.22285713</v>
      </c>
      <c r="D38" s="15"/>
      <c r="E38" s="31">
        <f>SUM(E30:E36)</f>
        <v>49877154.22285715</v>
      </c>
      <c r="F38" s="15"/>
      <c r="G38" s="31">
        <f>SUM(G30:G36)</f>
        <v>53309410.357714295</v>
      </c>
      <c r="H38" s="15"/>
      <c r="I38" s="31">
        <f>SUM(I30:I36)</f>
        <v>54908692.66844573</v>
      </c>
      <c r="J38" s="15"/>
      <c r="K38" s="31">
        <f>SUM(K30:K36)</f>
        <v>56555953.4484991</v>
      </c>
    </row>
    <row r="39" spans="1:11" ht="15.75" customHeight="1">
      <c r="A39" s="25"/>
      <c r="B39" s="25"/>
      <c r="C39" s="11"/>
      <c r="D39" s="14"/>
      <c r="E39" s="11"/>
      <c r="F39" s="14"/>
      <c r="G39" s="11"/>
      <c r="H39" s="14"/>
      <c r="I39" s="11"/>
      <c r="J39" s="14"/>
      <c r="K39" s="11"/>
    </row>
    <row r="40" spans="1:11" ht="15.75" customHeight="1">
      <c r="A40" s="1" t="s">
        <v>99</v>
      </c>
      <c r="B40" s="25"/>
      <c r="C40" s="10">
        <f>C27-C38</f>
        <v>2659656.7200000137</v>
      </c>
      <c r="D40" s="14"/>
      <c r="E40" s="10">
        <f>E27-E38</f>
        <v>264962.41714285314</v>
      </c>
      <c r="F40" s="14"/>
      <c r="G40" s="10">
        <f>G27-G38</f>
        <v>163207.2507428527</v>
      </c>
      <c r="H40" s="14"/>
      <c r="I40" s="10">
        <f>I27-I38</f>
        <v>168103.46826513112</v>
      </c>
      <c r="J40" s="14"/>
      <c r="K40" s="10">
        <f>K27-K38</f>
        <v>173146.57231309265</v>
      </c>
    </row>
    <row r="41" spans="1:11" ht="15.75" customHeight="1">
      <c r="A41" s="25"/>
      <c r="B41" s="25"/>
      <c r="C41" s="11"/>
      <c r="D41" s="14"/>
      <c r="E41" s="11"/>
      <c r="F41" s="14"/>
      <c r="G41" s="11"/>
      <c r="H41" s="14"/>
      <c r="I41" s="11"/>
      <c r="J41" s="14"/>
      <c r="K41" s="11"/>
    </row>
    <row r="42" spans="2:11" ht="15.75" customHeight="1">
      <c r="B42" s="25" t="s">
        <v>100</v>
      </c>
      <c r="C42" s="12">
        <f>'Table 3A'!C42+'Table 3B'!C42</f>
        <v>0</v>
      </c>
      <c r="D42" s="15"/>
      <c r="E42" s="12">
        <f>'Table 3A'!E42+'Table 3B'!E42</f>
        <v>0</v>
      </c>
      <c r="F42" s="15"/>
      <c r="G42" s="12">
        <f>'Table 3A'!G42+'Table 3B'!G42</f>
        <v>0</v>
      </c>
      <c r="H42" s="15"/>
      <c r="I42" s="12">
        <f>'Table 3A'!I42+'Table 3B'!I42</f>
        <v>0</v>
      </c>
      <c r="J42" s="15"/>
      <c r="K42" s="12">
        <f>'Table 3A'!K42+'Table 3B'!K42</f>
        <v>0</v>
      </c>
    </row>
    <row r="43" spans="1:11" ht="15.75" customHeight="1">
      <c r="A43" s="25"/>
      <c r="B43" s="25"/>
      <c r="C43" s="30"/>
      <c r="D43" s="27"/>
      <c r="E43" s="30"/>
      <c r="F43" s="27"/>
      <c r="G43" s="30"/>
      <c r="H43" s="27"/>
      <c r="I43" s="30"/>
      <c r="J43" s="27"/>
      <c r="K43" s="30"/>
    </row>
    <row r="44" spans="1:11" ht="15.75" customHeight="1" thickBot="1">
      <c r="A44" s="1" t="s">
        <v>101</v>
      </c>
      <c r="B44" s="25"/>
      <c r="C44" s="34">
        <f>C40+C42</f>
        <v>2659656.7200000137</v>
      </c>
      <c r="D44" s="33"/>
      <c r="E44" s="34">
        <f>E40+E42</f>
        <v>264962.41714285314</v>
      </c>
      <c r="F44" s="33"/>
      <c r="G44" s="34">
        <f>G40+G42</f>
        <v>163207.2507428527</v>
      </c>
      <c r="H44" s="33"/>
      <c r="I44" s="34">
        <f>I40+I42</f>
        <v>168103.46826513112</v>
      </c>
      <c r="J44" s="33"/>
      <c r="K44" s="34">
        <f>K40+K42</f>
        <v>173146.57231309265</v>
      </c>
    </row>
    <row r="45" spans="1:11" ht="15.75" customHeight="1" thickTop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0" ht="15.75" customHeight="1">
      <c r="A46" s="25"/>
      <c r="B46" s="25"/>
      <c r="F46" s="25"/>
      <c r="H46" s="25"/>
      <c r="J46" s="25"/>
    </row>
    <row r="47" spans="1:10" ht="15.75" customHeight="1">
      <c r="A47" s="25" t="s">
        <v>73</v>
      </c>
      <c r="B47" s="25"/>
      <c r="F47" s="25"/>
      <c r="H47" s="25"/>
      <c r="J47" s="25"/>
    </row>
    <row r="48" spans="1:10" ht="12.75">
      <c r="A48" s="25"/>
      <c r="B48" s="25"/>
      <c r="F48" s="25"/>
      <c r="H48" s="25"/>
      <c r="J48" s="25"/>
    </row>
    <row r="49" ht="12.75">
      <c r="H49" s="25"/>
    </row>
    <row r="50" ht="12.75">
      <c r="H50" s="25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1" bottom="0.75" header="0.5" footer="0.5"/>
  <pageSetup fitToHeight="1" fitToWidth="1" horizontalDpi="600" verticalDpi="600" orientation="portrait" scale="92" r:id="rId1"/>
  <headerFooter alignWithMargins="0">
    <oddHeader>&amp;L&amp;11NOTE: This table requires no 'fill-in' as it is populated automatically from Tables 3A &amp;&amp; 3B.</oddHeader>
    <oddFooter>&amp;L&amp;D
Health Care Administration&amp;R&amp;F,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85" zoomScaleNormal="85" zoomScalePageLayoutView="0" workbookViewId="0" topLeftCell="A34">
      <selection activeCell="C9" sqref="C9:K9"/>
    </sheetView>
  </sheetViews>
  <sheetFormatPr defaultColWidth="9.140625" defaultRowHeight="12.75"/>
  <cols>
    <col min="1" max="1" width="2.7109375" style="0" customWidth="1"/>
    <col min="2" max="2" width="35.42187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2" t="str">
        <f>'Table 1'!A1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102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3.5" customHeight="1"/>
    <row r="7" spans="3:11" ht="13.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1:11" ht="13.5" customHeight="1">
      <c r="A8" s="1" t="s">
        <v>105</v>
      </c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3.5" customHeight="1">
      <c r="C9" s="180"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1:10" ht="13.5" customHeight="1">
      <c r="A10" s="1" t="s">
        <v>106</v>
      </c>
      <c r="B10" s="25"/>
      <c r="D10" s="25"/>
      <c r="F10" s="25"/>
      <c r="H10" s="25"/>
      <c r="J10" s="25"/>
    </row>
    <row r="11" spans="1:11" ht="13.5" customHeight="1">
      <c r="A11" s="25"/>
      <c r="B11" s="24" t="s">
        <v>107</v>
      </c>
      <c r="C11" s="170">
        <v>12567476</v>
      </c>
      <c r="D11" s="171"/>
      <c r="E11" s="170">
        <v>12567476</v>
      </c>
      <c r="F11" s="171"/>
      <c r="G11" s="170">
        <f>E11+189115</f>
        <v>12756591</v>
      </c>
      <c r="H11" s="171"/>
      <c r="I11" s="170">
        <f>G11+200000</f>
        <v>12956591</v>
      </c>
      <c r="J11" s="171"/>
      <c r="K11" s="170">
        <f>I11+225000</f>
        <v>13181591</v>
      </c>
    </row>
    <row r="12" spans="1:11" ht="13.5" customHeight="1">
      <c r="A12" s="25"/>
      <c r="B12" s="24" t="s">
        <v>108</v>
      </c>
      <c r="C12" s="172">
        <v>4671206</v>
      </c>
      <c r="D12" s="171"/>
      <c r="E12" s="172">
        <v>4471206</v>
      </c>
      <c r="F12" s="171"/>
      <c r="G12" s="172">
        <f>E12</f>
        <v>4471206</v>
      </c>
      <c r="H12" s="171"/>
      <c r="I12" s="172">
        <f>G12</f>
        <v>4471206</v>
      </c>
      <c r="J12" s="171"/>
      <c r="K12" s="172">
        <f>I12</f>
        <v>4471206</v>
      </c>
    </row>
    <row r="13" spans="1:11" ht="13.5" customHeight="1">
      <c r="A13" s="25"/>
      <c r="B13" s="40" t="s">
        <v>109</v>
      </c>
      <c r="C13" s="172"/>
      <c r="D13" s="171"/>
      <c r="E13" s="172"/>
      <c r="F13" s="171"/>
      <c r="G13" s="172"/>
      <c r="H13" s="171"/>
      <c r="I13" s="172"/>
      <c r="J13" s="171"/>
      <c r="K13" s="172"/>
    </row>
    <row r="14" spans="1:11" ht="13.5" customHeight="1">
      <c r="A14" s="25"/>
      <c r="B14" s="24" t="s">
        <v>110</v>
      </c>
      <c r="C14" s="172"/>
      <c r="D14" s="171"/>
      <c r="E14" s="172"/>
      <c r="F14" s="171"/>
      <c r="G14" s="172"/>
      <c r="H14" s="171"/>
      <c r="I14" s="172"/>
      <c r="J14" s="171"/>
      <c r="K14" s="172"/>
    </row>
    <row r="15" spans="1:11" ht="13.5" customHeight="1">
      <c r="A15" s="25"/>
      <c r="B15" s="24" t="s">
        <v>111</v>
      </c>
      <c r="C15" s="168">
        <v>990441</v>
      </c>
      <c r="D15" s="173"/>
      <c r="E15" s="168">
        <v>1200441</v>
      </c>
      <c r="F15" s="173"/>
      <c r="G15" s="168">
        <f>E15</f>
        <v>1200441</v>
      </c>
      <c r="H15" s="173"/>
      <c r="I15" s="168">
        <f>G15</f>
        <v>1200441</v>
      </c>
      <c r="J15" s="173"/>
      <c r="K15" s="168">
        <f>I15</f>
        <v>1200441</v>
      </c>
    </row>
    <row r="16" spans="1:11" ht="13.5" customHeight="1">
      <c r="A16" s="25"/>
      <c r="B16" s="25"/>
      <c r="C16" s="30"/>
      <c r="D16" s="27"/>
      <c r="E16" s="30"/>
      <c r="F16" s="27"/>
      <c r="G16" s="30"/>
      <c r="H16" s="27"/>
      <c r="I16" s="30"/>
      <c r="J16" s="27"/>
      <c r="K16" s="30"/>
    </row>
    <row r="17" spans="2:11" ht="13.5" customHeight="1">
      <c r="B17" s="1" t="s">
        <v>112</v>
      </c>
      <c r="C17" s="31">
        <f>SUM(C11:C15)</f>
        <v>18229123</v>
      </c>
      <c r="D17" s="15"/>
      <c r="E17" s="31">
        <f>SUM(E11:E15)</f>
        <v>18239123</v>
      </c>
      <c r="F17" s="15"/>
      <c r="G17" s="31">
        <f>SUM(G11:G15)</f>
        <v>18428238</v>
      </c>
      <c r="H17" s="15"/>
      <c r="I17" s="31">
        <f>SUM(I11:I15)</f>
        <v>18628238</v>
      </c>
      <c r="J17" s="15"/>
      <c r="K17" s="31">
        <f>SUM(K11:K15)</f>
        <v>18853238</v>
      </c>
    </row>
    <row r="18" spans="1:11" ht="13.5" customHeight="1">
      <c r="A18" s="25"/>
      <c r="B18" s="25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3.5" customHeight="1">
      <c r="A19" s="1" t="s">
        <v>113</v>
      </c>
      <c r="B19" s="25"/>
      <c r="C19" s="37"/>
      <c r="D19" s="27"/>
      <c r="E19" s="37"/>
      <c r="F19" s="27"/>
      <c r="G19" s="37"/>
      <c r="H19" s="27"/>
      <c r="I19" s="37"/>
      <c r="J19" s="27"/>
      <c r="K19" s="37"/>
    </row>
    <row r="20" spans="1:11" ht="13.5" customHeight="1">
      <c r="A20" s="25"/>
      <c r="B20" s="24" t="s">
        <v>41</v>
      </c>
      <c r="C20" s="170">
        <v>0</v>
      </c>
      <c r="D20" s="171"/>
      <c r="E20" s="170">
        <v>0</v>
      </c>
      <c r="F20" s="171"/>
      <c r="G20" s="170">
        <v>0</v>
      </c>
      <c r="H20" s="171"/>
      <c r="I20" s="170">
        <v>0</v>
      </c>
      <c r="J20" s="171"/>
      <c r="K20" s="170">
        <v>0</v>
      </c>
    </row>
    <row r="21" spans="1:11" ht="13.5" customHeight="1">
      <c r="A21" s="25"/>
      <c r="B21" s="24" t="s">
        <v>114</v>
      </c>
      <c r="C21" s="172"/>
      <c r="D21" s="171"/>
      <c r="E21" s="172"/>
      <c r="F21" s="171"/>
      <c r="G21" s="172"/>
      <c r="H21" s="171"/>
      <c r="I21" s="172"/>
      <c r="J21" s="171"/>
      <c r="K21" s="172"/>
    </row>
    <row r="22" spans="1:11" ht="13.5" customHeight="1">
      <c r="A22" s="25"/>
      <c r="B22" s="24" t="s">
        <v>21</v>
      </c>
      <c r="C22" s="168"/>
      <c r="D22" s="173"/>
      <c r="E22" s="168"/>
      <c r="F22" s="173"/>
      <c r="G22" s="168"/>
      <c r="H22" s="173"/>
      <c r="I22" s="168"/>
      <c r="J22" s="173"/>
      <c r="K22" s="168"/>
    </row>
    <row r="23" spans="1:11" ht="13.5" customHeight="1">
      <c r="A23" s="25"/>
      <c r="B23" s="25"/>
      <c r="C23" s="37"/>
      <c r="D23" s="27"/>
      <c r="E23" s="37"/>
      <c r="F23" s="27"/>
      <c r="G23" s="37"/>
      <c r="H23" s="27"/>
      <c r="I23" s="37"/>
      <c r="J23" s="27"/>
      <c r="K23" s="37"/>
    </row>
    <row r="24" spans="1:11" ht="13.5" customHeight="1">
      <c r="A24" s="25"/>
      <c r="B24" s="1" t="s">
        <v>115</v>
      </c>
      <c r="C24" s="31">
        <f>SUM(C20:C22)</f>
        <v>0</v>
      </c>
      <c r="D24" s="15"/>
      <c r="E24" s="31">
        <f>SUM(E20:E22)</f>
        <v>0</v>
      </c>
      <c r="F24" s="15"/>
      <c r="G24" s="31">
        <f>SUM(G20:G22)</f>
        <v>0</v>
      </c>
      <c r="H24" s="15"/>
      <c r="I24" s="31">
        <f>SUM(I20:I22)</f>
        <v>0</v>
      </c>
      <c r="J24" s="15"/>
      <c r="K24" s="31">
        <f>SUM(K20:K22)</f>
        <v>0</v>
      </c>
    </row>
    <row r="25" spans="1:11" ht="13.5" customHeight="1">
      <c r="A25" s="25"/>
      <c r="B25" s="25"/>
      <c r="C25" s="30"/>
      <c r="D25" s="27"/>
      <c r="E25" s="30"/>
      <c r="F25" s="27"/>
      <c r="G25" s="30"/>
      <c r="H25" s="27"/>
      <c r="I25" s="30"/>
      <c r="J25" s="27"/>
      <c r="K25" s="30"/>
    </row>
    <row r="26" spans="1:11" ht="13.5" customHeight="1">
      <c r="A26" s="1" t="s">
        <v>116</v>
      </c>
      <c r="B26" s="25"/>
      <c r="C26" s="37"/>
      <c r="D26" s="27"/>
      <c r="E26" s="37"/>
      <c r="F26" s="27"/>
      <c r="G26" s="37"/>
      <c r="H26" s="27"/>
      <c r="I26" s="37"/>
      <c r="J26" s="27"/>
      <c r="K26" s="37"/>
    </row>
    <row r="27" spans="1:11" ht="13.5" customHeight="1">
      <c r="A27" s="25"/>
      <c r="B27" s="24" t="s">
        <v>117</v>
      </c>
      <c r="C27" s="170">
        <f>10247155+8738282.72</f>
        <v>18985437.72</v>
      </c>
      <c r="D27" s="171"/>
      <c r="E27" s="170">
        <v>19985438</v>
      </c>
      <c r="F27" s="171"/>
      <c r="G27" s="170">
        <f>E27+250000</f>
        <v>20235438</v>
      </c>
      <c r="H27" s="171"/>
      <c r="I27" s="170">
        <f>G27+100000</f>
        <v>20335438</v>
      </c>
      <c r="J27" s="171"/>
      <c r="K27" s="170">
        <f>I27+100000</f>
        <v>20435438</v>
      </c>
    </row>
    <row r="28" spans="1:12" ht="13.5" customHeight="1">
      <c r="A28" s="25"/>
      <c r="B28" s="24" t="s">
        <v>11</v>
      </c>
      <c r="C28" s="172"/>
      <c r="D28" s="171"/>
      <c r="E28" s="172"/>
      <c r="F28" s="171"/>
      <c r="G28" s="172"/>
      <c r="H28" s="171"/>
      <c r="I28" s="172"/>
      <c r="J28" s="171"/>
      <c r="K28" s="172"/>
      <c r="L28" s="25"/>
    </row>
    <row r="29" spans="1:11" ht="13.5" customHeight="1">
      <c r="A29" s="25"/>
      <c r="B29" s="24" t="s">
        <v>15</v>
      </c>
      <c r="C29" s="172"/>
      <c r="D29" s="171"/>
      <c r="E29" s="172"/>
      <c r="F29" s="171"/>
      <c r="G29" s="172"/>
      <c r="H29" s="171"/>
      <c r="I29" s="172"/>
      <c r="J29" s="171"/>
      <c r="K29" s="172"/>
    </row>
    <row r="30" spans="1:11" ht="13.5" customHeight="1">
      <c r="A30" s="25"/>
      <c r="B30" s="24" t="s">
        <v>118</v>
      </c>
      <c r="C30" s="168"/>
      <c r="D30" s="173"/>
      <c r="E30" s="168"/>
      <c r="F30" s="173"/>
      <c r="G30" s="168"/>
      <c r="H30" s="173"/>
      <c r="I30" s="168"/>
      <c r="J30" s="173"/>
      <c r="K30" s="168"/>
    </row>
    <row r="31" spans="1:11" ht="13.5" customHeight="1">
      <c r="A31" s="25"/>
      <c r="B31" s="1" t="s">
        <v>119</v>
      </c>
      <c r="C31" s="31">
        <f>SUM(C27:C30)</f>
        <v>18985437.72</v>
      </c>
      <c r="D31" s="15"/>
      <c r="E31" s="31">
        <f>SUM(E27:E30)</f>
        <v>19985438</v>
      </c>
      <c r="F31" s="15"/>
      <c r="G31" s="31">
        <f>SUM(G27:G30)</f>
        <v>20235438</v>
      </c>
      <c r="H31" s="15"/>
      <c r="I31" s="31">
        <f>SUM(I27:I30)</f>
        <v>20335438</v>
      </c>
      <c r="J31" s="15"/>
      <c r="K31" s="31">
        <f>SUM(K27:K30)</f>
        <v>20435438</v>
      </c>
    </row>
    <row r="32" spans="1:11" ht="13.5" customHeight="1">
      <c r="A32" s="25"/>
      <c r="B32" s="25"/>
      <c r="C32" s="30"/>
      <c r="D32" s="27"/>
      <c r="E32" s="30"/>
      <c r="F32" s="27"/>
      <c r="G32" s="30"/>
      <c r="H32" s="27"/>
      <c r="I32" s="30"/>
      <c r="J32" s="27"/>
      <c r="K32" s="30"/>
    </row>
    <row r="33" spans="1:11" ht="13.5" customHeight="1">
      <c r="A33" s="1" t="s">
        <v>120</v>
      </c>
      <c r="B33" s="25"/>
      <c r="C33" s="30"/>
      <c r="D33" s="27"/>
      <c r="E33" s="30"/>
      <c r="F33" s="27"/>
      <c r="G33" s="30"/>
      <c r="H33" s="27"/>
      <c r="I33" s="30"/>
      <c r="J33" s="27"/>
      <c r="K33" s="30"/>
    </row>
    <row r="34" spans="1:11" ht="13.5" customHeight="1">
      <c r="A34" s="25"/>
      <c r="B34" s="24" t="s">
        <v>117</v>
      </c>
      <c r="C34" s="170">
        <v>-8738282.72</v>
      </c>
      <c r="D34" s="171"/>
      <c r="E34" s="170">
        <v>-9133283</v>
      </c>
      <c r="F34" s="171"/>
      <c r="G34" s="170">
        <f>E34-140000</f>
        <v>-9273283</v>
      </c>
      <c r="H34" s="171"/>
      <c r="I34" s="170">
        <f>G34-140000</f>
        <v>-9413283</v>
      </c>
      <c r="J34" s="171"/>
      <c r="K34" s="170">
        <f>I34-150000</f>
        <v>-9563283</v>
      </c>
    </row>
    <row r="35" spans="1:11" ht="13.5" customHeight="1">
      <c r="A35" s="25"/>
      <c r="B35" s="24" t="s">
        <v>11</v>
      </c>
      <c r="C35" s="172"/>
      <c r="D35" s="171"/>
      <c r="E35" s="172"/>
      <c r="F35" s="171"/>
      <c r="G35" s="172"/>
      <c r="H35" s="171"/>
      <c r="I35" s="172"/>
      <c r="J35" s="171"/>
      <c r="K35" s="172"/>
    </row>
    <row r="36" spans="1:11" ht="13.5" customHeight="1">
      <c r="A36" s="25"/>
      <c r="B36" s="24" t="s">
        <v>15</v>
      </c>
      <c r="C36" s="168"/>
      <c r="D36" s="173"/>
      <c r="E36" s="168"/>
      <c r="F36" s="173"/>
      <c r="G36" s="168"/>
      <c r="H36" s="173"/>
      <c r="I36" s="168"/>
      <c r="J36" s="173"/>
      <c r="K36" s="168"/>
    </row>
    <row r="37" spans="1:11" ht="13.5" customHeight="1">
      <c r="A37" s="25"/>
      <c r="B37" s="1" t="s">
        <v>121</v>
      </c>
      <c r="C37" s="31">
        <f>SUM(C34:C36)</f>
        <v>-8738282.72</v>
      </c>
      <c r="D37" s="15"/>
      <c r="E37" s="31">
        <f>SUM(E34:E36)</f>
        <v>-9133283</v>
      </c>
      <c r="F37" s="15"/>
      <c r="G37" s="31">
        <f>SUM(G34:G36)</f>
        <v>-9273283</v>
      </c>
      <c r="H37" s="15"/>
      <c r="I37" s="31">
        <f>SUM(I34:I36)</f>
        <v>-9413283</v>
      </c>
      <c r="J37" s="15"/>
      <c r="K37" s="31">
        <f>SUM(K34:K36)</f>
        <v>-9563283</v>
      </c>
    </row>
    <row r="38" spans="1:11" ht="13.5" customHeight="1">
      <c r="A38" s="25"/>
      <c r="B38" s="25"/>
      <c r="C38" s="37"/>
      <c r="D38" s="27"/>
      <c r="E38" s="37"/>
      <c r="F38" s="27"/>
      <c r="G38" s="37"/>
      <c r="H38" s="27"/>
      <c r="I38" s="37"/>
      <c r="J38" s="27"/>
      <c r="K38" s="37"/>
    </row>
    <row r="39" spans="1:11" ht="13.5" customHeight="1">
      <c r="A39" s="1" t="s">
        <v>122</v>
      </c>
      <c r="C39" s="37">
        <f>C31+C37</f>
        <v>10247154.999999998</v>
      </c>
      <c r="D39" s="27"/>
      <c r="E39" s="37">
        <f>E31+E37</f>
        <v>10852155</v>
      </c>
      <c r="F39" s="27"/>
      <c r="G39" s="37">
        <f>G31+G37</f>
        <v>10962155</v>
      </c>
      <c r="H39" s="27"/>
      <c r="I39" s="37">
        <f>I31+I37</f>
        <v>10922155</v>
      </c>
      <c r="J39" s="27"/>
      <c r="K39" s="37">
        <f>K31+K37</f>
        <v>10872155</v>
      </c>
    </row>
    <row r="40" spans="1:11" ht="13.5" customHeight="1">
      <c r="A40" s="25"/>
      <c r="B40" s="25"/>
      <c r="C40" s="37"/>
      <c r="D40" s="27"/>
      <c r="E40" s="37"/>
      <c r="F40" s="27"/>
      <c r="G40" s="37"/>
      <c r="H40" s="27"/>
      <c r="I40" s="37"/>
      <c r="J40" s="27"/>
      <c r="K40" s="37"/>
    </row>
    <row r="41" spans="1:11" ht="13.5" customHeight="1">
      <c r="A41" s="41" t="s">
        <v>123</v>
      </c>
      <c r="B41" s="24"/>
      <c r="C41" s="174">
        <v>2763607.27</v>
      </c>
      <c r="D41" s="173"/>
      <c r="E41" s="174">
        <v>2763607</v>
      </c>
      <c r="F41" s="173"/>
      <c r="G41" s="174">
        <f>E41</f>
        <v>2763607</v>
      </c>
      <c r="H41" s="173"/>
      <c r="I41" s="174">
        <f>G41</f>
        <v>2763607</v>
      </c>
      <c r="J41" s="173"/>
      <c r="K41" s="174">
        <f>I41</f>
        <v>2763607</v>
      </c>
    </row>
    <row r="42" spans="1:11" ht="13.5" customHeight="1">
      <c r="A42" s="25"/>
      <c r="B42" s="25"/>
      <c r="C42" s="30"/>
      <c r="D42" s="27"/>
      <c r="E42" s="30"/>
      <c r="F42" s="27"/>
      <c r="G42" s="30"/>
      <c r="H42" s="27"/>
      <c r="I42" s="30"/>
      <c r="J42" s="27"/>
      <c r="K42" s="30"/>
    </row>
    <row r="43" spans="1:11" ht="13.5" customHeight="1">
      <c r="A43" s="25"/>
      <c r="B43" s="25"/>
      <c r="C43" s="30"/>
      <c r="D43" s="27"/>
      <c r="E43" s="30"/>
      <c r="F43" s="27"/>
      <c r="G43" s="30"/>
      <c r="H43" s="27"/>
      <c r="I43" s="30"/>
      <c r="J43" s="27"/>
      <c r="K43" s="30"/>
    </row>
    <row r="44" spans="1:11" ht="13.5" customHeight="1" thickBot="1">
      <c r="A44" s="1" t="s">
        <v>103</v>
      </c>
      <c r="B44" s="25"/>
      <c r="C44" s="42">
        <f>C17+C24+C39+C41</f>
        <v>31239885.27</v>
      </c>
      <c r="D44" s="43"/>
      <c r="E44" s="42">
        <f>E17+E24+E39+E41</f>
        <v>31854885</v>
      </c>
      <c r="F44" s="43"/>
      <c r="G44" s="42">
        <f>G17+G24+G39+G41</f>
        <v>32154000</v>
      </c>
      <c r="H44" s="43"/>
      <c r="I44" s="42">
        <f>I17+I24+I39+I41</f>
        <v>32314000</v>
      </c>
      <c r="J44" s="43"/>
      <c r="K44" s="42">
        <f>K17+K24+K39+K41</f>
        <v>32489000</v>
      </c>
    </row>
    <row r="45" spans="1:11" ht="13.5" customHeight="1" thickTop="1">
      <c r="A45" s="25"/>
      <c r="B45" s="25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3.5" customHeight="1">
      <c r="A46" s="25"/>
      <c r="B46" s="25"/>
      <c r="C46" s="21"/>
      <c r="D46" s="21"/>
      <c r="E46" s="21"/>
      <c r="F46" s="21"/>
      <c r="G46" s="44"/>
      <c r="H46" s="21"/>
      <c r="I46" s="44"/>
      <c r="J46" s="21"/>
      <c r="K46" s="44"/>
    </row>
    <row r="47" spans="1:11" ht="13.5" customHeight="1">
      <c r="A47" s="25"/>
      <c r="B47" s="25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3.5" customHeight="1">
      <c r="A48" s="1" t="s">
        <v>124</v>
      </c>
      <c r="B48" s="25"/>
      <c r="C48" s="21"/>
      <c r="D48" s="21"/>
      <c r="E48" s="21"/>
      <c r="F48" s="21"/>
      <c r="G48" s="21"/>
      <c r="H48" s="21"/>
      <c r="I48" s="21"/>
      <c r="J48" s="21"/>
      <c r="K48" s="21"/>
    </row>
    <row r="49" spans="3:11" ht="13.5" customHeight="1"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3.5" customHeight="1">
      <c r="A50" s="1" t="s">
        <v>125</v>
      </c>
      <c r="C50" s="21"/>
      <c r="D50" s="21"/>
      <c r="E50" s="21"/>
      <c r="F50" s="21"/>
      <c r="G50" s="21"/>
      <c r="H50" s="21"/>
      <c r="I50" s="21"/>
      <c r="J50" s="21"/>
      <c r="K50" s="21"/>
    </row>
    <row r="51" spans="2:11" ht="13.5" customHeight="1">
      <c r="B51" s="24" t="s">
        <v>126</v>
      </c>
      <c r="C51" s="170">
        <v>1662799.67</v>
      </c>
      <c r="D51" s="171"/>
      <c r="E51" s="170">
        <f>C51+115000</f>
        <v>1777799.67</v>
      </c>
      <c r="F51" s="171"/>
      <c r="G51" s="170">
        <f>E51+100000</f>
        <v>1877799.67</v>
      </c>
      <c r="H51" s="171"/>
      <c r="I51" s="170">
        <f>G51</f>
        <v>1877799.67</v>
      </c>
      <c r="J51" s="171"/>
      <c r="K51" s="170">
        <f>I51+20000</f>
        <v>1897799.67</v>
      </c>
    </row>
    <row r="52" spans="2:11" ht="13.5" customHeight="1">
      <c r="B52" s="24" t="s">
        <v>127</v>
      </c>
      <c r="C52" s="172">
        <f>788303.37+457368.77+601654.59+14806.25-1097.53-629.1-186.02+236.17+44496.49-1934.73+1446.79</f>
        <v>1904465.0499999998</v>
      </c>
      <c r="D52" s="171"/>
      <c r="E52" s="172">
        <f>C52</f>
        <v>1904465.0499999998</v>
      </c>
      <c r="F52" s="171"/>
      <c r="G52" s="172">
        <f>E52+150000</f>
        <v>2054465.0499999998</v>
      </c>
      <c r="H52" s="171"/>
      <c r="I52" s="172">
        <f>G52</f>
        <v>2054465.0499999998</v>
      </c>
      <c r="J52" s="171"/>
      <c r="K52" s="172">
        <f>I52+50000</f>
        <v>2104465.05</v>
      </c>
    </row>
    <row r="53" spans="2:11" ht="13.5" customHeight="1">
      <c r="B53" s="24" t="s">
        <v>128</v>
      </c>
      <c r="C53" s="172"/>
      <c r="D53" s="171"/>
      <c r="E53" s="172"/>
      <c r="F53" s="171"/>
      <c r="G53" s="172"/>
      <c r="H53" s="171"/>
      <c r="I53" s="172"/>
      <c r="J53" s="171"/>
      <c r="K53" s="172"/>
    </row>
    <row r="54" spans="2:11" ht="13.5" customHeight="1">
      <c r="B54" s="24" t="s">
        <v>129</v>
      </c>
      <c r="C54" s="172">
        <v>1306600.04</v>
      </c>
      <c r="D54" s="171"/>
      <c r="E54" s="172">
        <f>C54</f>
        <v>1306600.04</v>
      </c>
      <c r="F54" s="171"/>
      <c r="G54" s="172">
        <f>E54</f>
        <v>1306600.04</v>
      </c>
      <c r="H54" s="171"/>
      <c r="I54" s="172">
        <f>G54</f>
        <v>1306600.04</v>
      </c>
      <c r="J54" s="171"/>
      <c r="K54" s="172">
        <f>I54</f>
        <v>1306600.04</v>
      </c>
    </row>
    <row r="55" spans="2:11" ht="13.5" customHeight="1">
      <c r="B55" s="24" t="s">
        <v>130</v>
      </c>
      <c r="C55" s="168">
        <v>106142</v>
      </c>
      <c r="D55" s="173"/>
      <c r="E55" s="168">
        <f>C55</f>
        <v>106142</v>
      </c>
      <c r="F55" s="173"/>
      <c r="G55" s="168">
        <f>E55+25000</f>
        <v>131142</v>
      </c>
      <c r="H55" s="173"/>
      <c r="I55" s="168">
        <f>G55+20000</f>
        <v>151142</v>
      </c>
      <c r="J55" s="173"/>
      <c r="K55" s="168">
        <f>I55+20000</f>
        <v>171142</v>
      </c>
    </row>
    <row r="56" spans="2:11" ht="13.5" customHeight="1">
      <c r="B56" s="1" t="s">
        <v>131</v>
      </c>
      <c r="C56" s="31">
        <f>SUM(C51:C55)</f>
        <v>4980006.76</v>
      </c>
      <c r="D56" s="15"/>
      <c r="E56" s="31">
        <f>SUM(E51:E55)</f>
        <v>5095006.76</v>
      </c>
      <c r="F56" s="15"/>
      <c r="G56" s="31">
        <f>SUM(G51:G55)</f>
        <v>5370006.76</v>
      </c>
      <c r="H56" s="15"/>
      <c r="I56" s="31">
        <f>SUM(I51:I55)</f>
        <v>5390006.76</v>
      </c>
      <c r="J56" s="15"/>
      <c r="K56" s="31">
        <f>SUM(K51:K55)</f>
        <v>5480006.76</v>
      </c>
    </row>
    <row r="57" spans="3:11" ht="13.5" customHeight="1"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3.5" customHeight="1">
      <c r="A58" s="1" t="s">
        <v>132</v>
      </c>
      <c r="C58" s="21"/>
      <c r="D58" s="21"/>
      <c r="E58" s="21"/>
      <c r="F58" s="21"/>
      <c r="G58" s="21"/>
      <c r="H58" s="21"/>
      <c r="I58" s="21"/>
      <c r="J58" s="21"/>
      <c r="K58" s="21"/>
    </row>
    <row r="59" spans="2:11" ht="13.5" customHeight="1">
      <c r="B59" s="24" t="s">
        <v>133</v>
      </c>
      <c r="C59" s="170">
        <f>4413966.65-106142</f>
        <v>4307824.65</v>
      </c>
      <c r="D59" s="171"/>
      <c r="E59" s="170">
        <f>C59+500000</f>
        <v>4807824.65</v>
      </c>
      <c r="F59" s="171"/>
      <c r="G59" s="170">
        <f>E59-25000</f>
        <v>4782824.65</v>
      </c>
      <c r="H59" s="171"/>
      <c r="I59" s="170">
        <f>G59-25000</f>
        <v>4757824.65</v>
      </c>
      <c r="J59" s="171"/>
      <c r="K59" s="170">
        <f>I59-25000</f>
        <v>4732824.65</v>
      </c>
    </row>
    <row r="60" spans="2:11" ht="13.5" customHeight="1">
      <c r="B60" s="24" t="s">
        <v>134</v>
      </c>
      <c r="C60" s="172">
        <v>0</v>
      </c>
      <c r="D60" s="171"/>
      <c r="E60" s="172">
        <v>0</v>
      </c>
      <c r="F60" s="171"/>
      <c r="G60" s="172">
        <v>0</v>
      </c>
      <c r="H60" s="171"/>
      <c r="I60" s="172">
        <v>0</v>
      </c>
      <c r="J60" s="171"/>
      <c r="K60" s="172">
        <v>0</v>
      </c>
    </row>
    <row r="61" spans="2:11" ht="13.5" customHeight="1">
      <c r="B61" s="24" t="s">
        <v>135</v>
      </c>
      <c r="C61" s="168">
        <v>0</v>
      </c>
      <c r="D61" s="173"/>
      <c r="E61" s="168">
        <v>0</v>
      </c>
      <c r="F61" s="173"/>
      <c r="G61" s="168">
        <v>0</v>
      </c>
      <c r="H61" s="173"/>
      <c r="I61" s="168">
        <v>0</v>
      </c>
      <c r="J61" s="173"/>
      <c r="K61" s="168">
        <v>0</v>
      </c>
    </row>
    <row r="62" spans="2:11" ht="13.5" customHeight="1">
      <c r="B62" s="1" t="s">
        <v>136</v>
      </c>
      <c r="C62" s="31">
        <f>SUM(C59:C61)</f>
        <v>4307824.65</v>
      </c>
      <c r="D62" s="15"/>
      <c r="E62" s="31">
        <f>SUM(E59:E61)</f>
        <v>4807824.65</v>
      </c>
      <c r="F62" s="15"/>
      <c r="G62" s="31">
        <f>SUM(G59:G61)</f>
        <v>4782824.65</v>
      </c>
      <c r="H62" s="15"/>
      <c r="I62" s="31">
        <f>SUM(I59:I61)</f>
        <v>4757824.65</v>
      </c>
      <c r="J62" s="15"/>
      <c r="K62" s="31">
        <f>SUM(K59:K61)</f>
        <v>4732824.65</v>
      </c>
    </row>
    <row r="63" spans="3:11" ht="13.5" customHeight="1"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3.5" customHeight="1">
      <c r="A64" s="41" t="s">
        <v>137</v>
      </c>
      <c r="C64" s="174">
        <v>3241410</v>
      </c>
      <c r="D64" s="173"/>
      <c r="E64" s="174">
        <f>C64</f>
        <v>3241410</v>
      </c>
      <c r="F64" s="173"/>
      <c r="G64" s="174">
        <f>E64</f>
        <v>3241410</v>
      </c>
      <c r="H64" s="173"/>
      <c r="I64" s="174">
        <f>G64</f>
        <v>3241410</v>
      </c>
      <c r="J64" s="173"/>
      <c r="K64" s="174">
        <f>I64</f>
        <v>3241410</v>
      </c>
    </row>
    <row r="65" spans="3:11" ht="13.5" customHeight="1"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3.5" customHeight="1">
      <c r="A66" s="1" t="s">
        <v>138</v>
      </c>
      <c r="C66" s="37">
        <f>C56+C62+C64</f>
        <v>12529241.41</v>
      </c>
      <c r="D66" s="27"/>
      <c r="E66" s="37">
        <f>E56+E62+E64</f>
        <v>13144241.41</v>
      </c>
      <c r="F66" s="27"/>
      <c r="G66" s="37">
        <f>G56+G62+G64</f>
        <v>13394241.41</v>
      </c>
      <c r="H66" s="27"/>
      <c r="I66" s="37">
        <f>I56+I62+I64</f>
        <v>13389241.41</v>
      </c>
      <c r="J66" s="27"/>
      <c r="K66" s="37">
        <f>K56+K62+K64</f>
        <v>13454241.41</v>
      </c>
    </row>
    <row r="67" spans="3:11" ht="13.5" customHeight="1"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3.5" customHeight="1">
      <c r="A68" s="41" t="s">
        <v>139</v>
      </c>
      <c r="C68" s="174">
        <v>18710643.58</v>
      </c>
      <c r="D68" s="173"/>
      <c r="E68" s="174">
        <f>C68</f>
        <v>18710643.58</v>
      </c>
      <c r="F68" s="173"/>
      <c r="G68" s="174">
        <v>18759759</v>
      </c>
      <c r="H68" s="173"/>
      <c r="I68" s="174">
        <v>18924759</v>
      </c>
      <c r="J68" s="173"/>
      <c r="K68" s="174">
        <v>19034759</v>
      </c>
    </row>
    <row r="69" spans="3:11" ht="13.5" customHeight="1">
      <c r="C69" s="21"/>
      <c r="D69" s="21"/>
      <c r="E69" s="21"/>
      <c r="F69" s="21"/>
      <c r="G69" s="21"/>
      <c r="H69" s="21"/>
      <c r="I69" s="21"/>
      <c r="J69" s="21"/>
      <c r="K69" s="21"/>
    </row>
    <row r="70" spans="3:11" ht="13.5" customHeight="1"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3.5" customHeight="1" thickBot="1">
      <c r="A71" s="1" t="s">
        <v>104</v>
      </c>
      <c r="C71" s="42">
        <f>C66+C68</f>
        <v>31239884.99</v>
      </c>
      <c r="D71" s="43"/>
      <c r="E71" s="42">
        <f>E66+E68</f>
        <v>31854884.99</v>
      </c>
      <c r="F71" s="43"/>
      <c r="G71" s="42">
        <f>G66+G68</f>
        <v>32154000.41</v>
      </c>
      <c r="H71" s="43"/>
      <c r="I71" s="42">
        <f>I66+I68</f>
        <v>32314000.41</v>
      </c>
      <c r="J71" s="43"/>
      <c r="K71" s="42">
        <f>K66+K68</f>
        <v>32489000.41</v>
      </c>
    </row>
    <row r="72" spans="3:11" ht="13.5" thickTop="1">
      <c r="C72" s="21"/>
      <c r="D72" s="21"/>
      <c r="E72" s="21"/>
      <c r="F72" s="21"/>
      <c r="G72" s="21"/>
      <c r="H72" s="21"/>
      <c r="I72" s="21"/>
      <c r="J72" s="21"/>
      <c r="K72" s="21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85" zoomScaleNormal="85" zoomScalePageLayoutView="0" workbookViewId="0" topLeftCell="A1">
      <selection activeCell="C9" sqref="C9:K9"/>
    </sheetView>
  </sheetViews>
  <sheetFormatPr defaultColWidth="9.140625" defaultRowHeight="12.75"/>
  <cols>
    <col min="1" max="1" width="2.7109375" style="0" customWidth="1"/>
    <col min="2" max="2" width="35.42187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2" t="str">
        <f>'Table 1'!A1:C1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1'!A2:C2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102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3.5" customHeight="1"/>
    <row r="7" spans="3:11" ht="13.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1:11" ht="13.5" customHeight="1">
      <c r="A8" s="1" t="s">
        <v>105</v>
      </c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3.5" customHeight="1">
      <c r="C9" s="180"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1:10" ht="13.5" customHeight="1">
      <c r="A10" s="1" t="s">
        <v>106</v>
      </c>
      <c r="B10" s="25"/>
      <c r="C10" s="127"/>
      <c r="D10" s="25"/>
      <c r="F10" s="25"/>
      <c r="H10" s="25"/>
      <c r="J10" s="25"/>
    </row>
    <row r="11" spans="1:11" ht="13.5" customHeight="1">
      <c r="A11" s="25"/>
      <c r="B11" s="24" t="s">
        <v>107</v>
      </c>
      <c r="C11" s="136"/>
      <c r="D11" s="38"/>
      <c r="E11" s="170">
        <v>0</v>
      </c>
      <c r="F11" s="171"/>
      <c r="G11" s="170">
        <v>0</v>
      </c>
      <c r="H11" s="171"/>
      <c r="I11" s="170">
        <v>0</v>
      </c>
      <c r="J11" s="171"/>
      <c r="K11" s="170">
        <v>0</v>
      </c>
    </row>
    <row r="12" spans="1:11" ht="13.5" customHeight="1">
      <c r="A12" s="25"/>
      <c r="B12" s="24" t="s">
        <v>108</v>
      </c>
      <c r="C12" s="136"/>
      <c r="D12" s="38"/>
      <c r="E12" s="172">
        <v>0</v>
      </c>
      <c r="F12" s="171"/>
      <c r="G12" s="172"/>
      <c r="H12" s="171"/>
      <c r="I12" s="172"/>
      <c r="J12" s="171"/>
      <c r="K12" s="172"/>
    </row>
    <row r="13" spans="1:11" ht="13.5" customHeight="1">
      <c r="A13" s="25"/>
      <c r="B13" s="40" t="s">
        <v>109</v>
      </c>
      <c r="C13" s="136"/>
      <c r="D13" s="38"/>
      <c r="E13" s="172">
        <v>0</v>
      </c>
      <c r="F13" s="171"/>
      <c r="G13" s="172"/>
      <c r="H13" s="171"/>
      <c r="I13" s="172"/>
      <c r="J13" s="171"/>
      <c r="K13" s="172"/>
    </row>
    <row r="14" spans="1:11" ht="13.5" customHeight="1">
      <c r="A14" s="25"/>
      <c r="B14" s="24" t="s">
        <v>110</v>
      </c>
      <c r="C14" s="136"/>
      <c r="D14" s="38"/>
      <c r="E14" s="172">
        <v>0</v>
      </c>
      <c r="F14" s="171"/>
      <c r="G14" s="172"/>
      <c r="H14" s="171"/>
      <c r="I14" s="172"/>
      <c r="J14" s="171"/>
      <c r="K14" s="172"/>
    </row>
    <row r="15" spans="1:11" ht="13.5" customHeight="1">
      <c r="A15" s="25"/>
      <c r="B15" s="24" t="s">
        <v>111</v>
      </c>
      <c r="C15" s="130"/>
      <c r="D15" s="39"/>
      <c r="E15" s="168">
        <v>0</v>
      </c>
      <c r="F15" s="173"/>
      <c r="G15" s="168">
        <v>0</v>
      </c>
      <c r="H15" s="173"/>
      <c r="I15" s="168">
        <v>0</v>
      </c>
      <c r="J15" s="173"/>
      <c r="K15" s="168">
        <v>0</v>
      </c>
    </row>
    <row r="16" spans="1:11" ht="13.5" customHeight="1">
      <c r="A16" s="25"/>
      <c r="B16" s="25"/>
      <c r="C16" s="137"/>
      <c r="D16" s="27"/>
      <c r="E16" s="30"/>
      <c r="F16" s="27"/>
      <c r="G16" s="30"/>
      <c r="H16" s="27"/>
      <c r="I16" s="30"/>
      <c r="J16" s="27"/>
      <c r="K16" s="30"/>
    </row>
    <row r="17" spans="2:11" ht="13.5" customHeight="1">
      <c r="B17" s="1" t="s">
        <v>112</v>
      </c>
      <c r="C17" s="138"/>
      <c r="D17" s="15"/>
      <c r="E17" s="31">
        <f>SUM(E11:E15)</f>
        <v>0</v>
      </c>
      <c r="F17" s="15"/>
      <c r="G17" s="31">
        <f>SUM(G11:G15)</f>
        <v>0</v>
      </c>
      <c r="H17" s="15"/>
      <c r="I17" s="31">
        <f>SUM(I11:I15)</f>
        <v>0</v>
      </c>
      <c r="J17" s="15"/>
      <c r="K17" s="31">
        <f>SUM(K11:K15)</f>
        <v>0</v>
      </c>
    </row>
    <row r="18" spans="1:11" ht="13.5" customHeight="1">
      <c r="A18" s="25"/>
      <c r="B18" s="25"/>
      <c r="C18" s="139"/>
      <c r="D18" s="21"/>
      <c r="E18" s="21"/>
      <c r="F18" s="21"/>
      <c r="G18" s="21"/>
      <c r="H18" s="21"/>
      <c r="I18" s="21"/>
      <c r="J18" s="21"/>
      <c r="K18" s="21"/>
    </row>
    <row r="19" spans="1:11" ht="13.5" customHeight="1">
      <c r="A19" s="1" t="s">
        <v>113</v>
      </c>
      <c r="B19" s="25"/>
      <c r="C19" s="140"/>
      <c r="D19" s="27"/>
      <c r="E19" s="37"/>
      <c r="F19" s="27"/>
      <c r="G19" s="37"/>
      <c r="H19" s="27"/>
      <c r="I19" s="37"/>
      <c r="J19" s="27"/>
      <c r="K19" s="37"/>
    </row>
    <row r="20" spans="1:11" ht="13.5" customHeight="1">
      <c r="A20" s="25"/>
      <c r="B20" s="24" t="s">
        <v>41</v>
      </c>
      <c r="C20" s="136"/>
      <c r="D20" s="38"/>
      <c r="E20" s="170">
        <v>0</v>
      </c>
      <c r="F20" s="171"/>
      <c r="G20" s="170">
        <v>0</v>
      </c>
      <c r="H20" s="171"/>
      <c r="I20" s="170">
        <v>0</v>
      </c>
      <c r="J20" s="171"/>
      <c r="K20" s="170">
        <v>0</v>
      </c>
    </row>
    <row r="21" spans="1:11" ht="13.5" customHeight="1">
      <c r="A21" s="25"/>
      <c r="B21" s="24" t="s">
        <v>114</v>
      </c>
      <c r="C21" s="136"/>
      <c r="D21" s="38"/>
      <c r="E21" s="172">
        <v>0</v>
      </c>
      <c r="F21" s="171"/>
      <c r="G21" s="172"/>
      <c r="H21" s="171"/>
      <c r="I21" s="172"/>
      <c r="J21" s="171"/>
      <c r="K21" s="172"/>
    </row>
    <row r="22" spans="1:11" ht="13.5" customHeight="1">
      <c r="A22" s="25"/>
      <c r="B22" s="24" t="s">
        <v>21</v>
      </c>
      <c r="C22" s="130"/>
      <c r="D22" s="39"/>
      <c r="E22" s="168">
        <v>0</v>
      </c>
      <c r="F22" s="173"/>
      <c r="G22" s="168"/>
      <c r="H22" s="173"/>
      <c r="I22" s="168"/>
      <c r="J22" s="173"/>
      <c r="K22" s="168"/>
    </row>
    <row r="23" spans="1:11" ht="13.5" customHeight="1">
      <c r="A23" s="25"/>
      <c r="B23" s="25"/>
      <c r="C23" s="140"/>
      <c r="D23" s="27"/>
      <c r="E23" s="37"/>
      <c r="F23" s="27"/>
      <c r="G23" s="37"/>
      <c r="H23" s="27"/>
      <c r="I23" s="37"/>
      <c r="J23" s="27"/>
      <c r="K23" s="37"/>
    </row>
    <row r="24" spans="1:11" ht="13.5" customHeight="1">
      <c r="A24" s="25"/>
      <c r="B24" s="1" t="s">
        <v>115</v>
      </c>
      <c r="C24" s="130"/>
      <c r="D24" s="15"/>
      <c r="E24" s="31">
        <f>SUM(E20:E22)</f>
        <v>0</v>
      </c>
      <c r="F24" s="15"/>
      <c r="G24" s="31">
        <f>SUM(G20:G22)</f>
        <v>0</v>
      </c>
      <c r="H24" s="15"/>
      <c r="I24" s="31">
        <f>SUM(I20:I22)</f>
        <v>0</v>
      </c>
      <c r="J24" s="15"/>
      <c r="K24" s="31">
        <f>SUM(K20:K22)</f>
        <v>0</v>
      </c>
    </row>
    <row r="25" spans="1:11" ht="13.5" customHeight="1">
      <c r="A25" s="25"/>
      <c r="B25" s="25"/>
      <c r="C25" s="137"/>
      <c r="D25" s="27"/>
      <c r="E25" s="30"/>
      <c r="F25" s="27"/>
      <c r="G25" s="30"/>
      <c r="H25" s="27"/>
      <c r="I25" s="30"/>
      <c r="J25" s="27"/>
      <c r="K25" s="30"/>
    </row>
    <row r="26" spans="1:11" ht="13.5" customHeight="1">
      <c r="A26" s="1" t="s">
        <v>116</v>
      </c>
      <c r="B26" s="25"/>
      <c r="C26" s="140"/>
      <c r="D26" s="27"/>
      <c r="E26" s="37"/>
      <c r="F26" s="27"/>
      <c r="G26" s="37"/>
      <c r="H26" s="27"/>
      <c r="I26" s="37"/>
      <c r="J26" s="27"/>
      <c r="K26" s="37"/>
    </row>
    <row r="27" spans="1:11" ht="13.5" customHeight="1">
      <c r="A27" s="25"/>
      <c r="B27" s="24" t="s">
        <v>117</v>
      </c>
      <c r="C27" s="136"/>
      <c r="D27" s="38"/>
      <c r="E27" s="170">
        <v>2000000</v>
      </c>
      <c r="F27" s="171"/>
      <c r="G27" s="170">
        <f>E27</f>
        <v>2000000</v>
      </c>
      <c r="H27" s="171"/>
      <c r="I27" s="170">
        <f>G27</f>
        <v>2000000</v>
      </c>
      <c r="J27" s="171"/>
      <c r="K27" s="170">
        <f>I27</f>
        <v>2000000</v>
      </c>
    </row>
    <row r="28" spans="1:12" ht="13.5" customHeight="1">
      <c r="A28" s="25"/>
      <c r="B28" s="24" t="s">
        <v>11</v>
      </c>
      <c r="C28" s="136"/>
      <c r="D28" s="38"/>
      <c r="E28" s="172">
        <v>0</v>
      </c>
      <c r="F28" s="171"/>
      <c r="G28" s="172"/>
      <c r="H28" s="171"/>
      <c r="I28" s="172"/>
      <c r="J28" s="171"/>
      <c r="K28" s="172"/>
      <c r="L28" s="25"/>
    </row>
    <row r="29" spans="1:11" ht="13.5" customHeight="1">
      <c r="A29" s="25"/>
      <c r="B29" s="24" t="s">
        <v>15</v>
      </c>
      <c r="C29" s="136"/>
      <c r="D29" s="38"/>
      <c r="E29" s="172">
        <v>0</v>
      </c>
      <c r="F29" s="171"/>
      <c r="G29" s="172"/>
      <c r="H29" s="171"/>
      <c r="I29" s="172"/>
      <c r="J29" s="171"/>
      <c r="K29" s="172"/>
    </row>
    <row r="30" spans="1:11" ht="13.5" customHeight="1">
      <c r="A30" s="25"/>
      <c r="B30" s="24" t="s">
        <v>118</v>
      </c>
      <c r="C30" s="130"/>
      <c r="D30" s="39"/>
      <c r="E30" s="168">
        <v>0</v>
      </c>
      <c r="F30" s="173"/>
      <c r="G30" s="168"/>
      <c r="H30" s="173"/>
      <c r="I30" s="168"/>
      <c r="J30" s="173"/>
      <c r="K30" s="168"/>
    </row>
    <row r="31" spans="1:11" ht="13.5" customHeight="1">
      <c r="A31" s="25"/>
      <c r="B31" s="1" t="s">
        <v>119</v>
      </c>
      <c r="C31" s="138"/>
      <c r="D31" s="15"/>
      <c r="E31" s="31">
        <f>SUM(E27:E30)</f>
        <v>2000000</v>
      </c>
      <c r="F31" s="15"/>
      <c r="G31" s="31">
        <f>SUM(G27:G30)</f>
        <v>2000000</v>
      </c>
      <c r="H31" s="15"/>
      <c r="I31" s="31">
        <f>SUM(I27:I30)</f>
        <v>2000000</v>
      </c>
      <c r="J31" s="15"/>
      <c r="K31" s="31">
        <f>SUM(K27:K30)</f>
        <v>2000000</v>
      </c>
    </row>
    <row r="32" spans="1:11" ht="13.5" customHeight="1">
      <c r="A32" s="25"/>
      <c r="B32" s="25"/>
      <c r="C32" s="141"/>
      <c r="D32" s="27"/>
      <c r="E32" s="30"/>
      <c r="F32" s="27"/>
      <c r="G32" s="30"/>
      <c r="H32" s="27"/>
      <c r="I32" s="30"/>
      <c r="J32" s="27"/>
      <c r="K32" s="30"/>
    </row>
    <row r="33" spans="1:11" ht="13.5" customHeight="1">
      <c r="A33" s="1" t="s">
        <v>120</v>
      </c>
      <c r="B33" s="25"/>
      <c r="C33" s="141"/>
      <c r="D33" s="27"/>
      <c r="E33" s="30"/>
      <c r="F33" s="27"/>
      <c r="G33" s="30"/>
      <c r="H33" s="27"/>
      <c r="I33" s="30"/>
      <c r="J33" s="27"/>
      <c r="K33" s="30"/>
    </row>
    <row r="34" spans="1:11" ht="13.5" customHeight="1">
      <c r="A34" s="25"/>
      <c r="B34" s="24" t="s">
        <v>117</v>
      </c>
      <c r="C34" s="136"/>
      <c r="D34" s="38"/>
      <c r="E34" s="170">
        <v>0</v>
      </c>
      <c r="F34" s="171"/>
      <c r="G34" s="170">
        <v>-67000</v>
      </c>
      <c r="H34" s="171"/>
      <c r="I34" s="170">
        <f>G34-67000</f>
        <v>-134000</v>
      </c>
      <c r="J34" s="171"/>
      <c r="K34" s="170">
        <f>I34-67000</f>
        <v>-201000</v>
      </c>
    </row>
    <row r="35" spans="1:11" ht="13.5" customHeight="1">
      <c r="A35" s="25"/>
      <c r="B35" s="24" t="s">
        <v>11</v>
      </c>
      <c r="C35" s="136"/>
      <c r="D35" s="38"/>
      <c r="E35" s="172">
        <v>0</v>
      </c>
      <c r="F35" s="171"/>
      <c r="G35" s="172"/>
      <c r="H35" s="171"/>
      <c r="I35" s="172"/>
      <c r="J35" s="171"/>
      <c r="K35" s="172"/>
    </row>
    <row r="36" spans="1:11" ht="13.5" customHeight="1">
      <c r="A36" s="25"/>
      <c r="B36" s="24" t="s">
        <v>15</v>
      </c>
      <c r="C36" s="130"/>
      <c r="D36" s="39"/>
      <c r="E36" s="168">
        <v>0</v>
      </c>
      <c r="F36" s="173"/>
      <c r="G36" s="168"/>
      <c r="H36" s="173"/>
      <c r="I36" s="168"/>
      <c r="J36" s="173"/>
      <c r="K36" s="168"/>
    </row>
    <row r="37" spans="1:11" ht="13.5" customHeight="1">
      <c r="A37" s="25"/>
      <c r="B37" s="1" t="s">
        <v>121</v>
      </c>
      <c r="C37" s="138"/>
      <c r="D37" s="15"/>
      <c r="E37" s="31">
        <f>SUM(E34:E36)</f>
        <v>0</v>
      </c>
      <c r="F37" s="15"/>
      <c r="G37" s="31">
        <f>SUM(G34:G36)</f>
        <v>-67000</v>
      </c>
      <c r="H37" s="15"/>
      <c r="I37" s="31">
        <f>SUM(I34:I36)</f>
        <v>-134000</v>
      </c>
      <c r="J37" s="15"/>
      <c r="K37" s="31">
        <f>SUM(K34:K36)</f>
        <v>-201000</v>
      </c>
    </row>
    <row r="38" spans="1:11" ht="13.5" customHeight="1">
      <c r="A38" s="25"/>
      <c r="B38" s="25"/>
      <c r="C38" s="142"/>
      <c r="D38" s="27"/>
      <c r="E38" s="37"/>
      <c r="F38" s="27"/>
      <c r="G38" s="37"/>
      <c r="H38" s="27"/>
      <c r="I38" s="37"/>
      <c r="J38" s="27"/>
      <c r="K38" s="37"/>
    </row>
    <row r="39" spans="1:11" ht="13.5" customHeight="1">
      <c r="A39" s="1" t="s">
        <v>122</v>
      </c>
      <c r="C39" s="136"/>
      <c r="D39" s="27"/>
      <c r="E39" s="37">
        <f>E31+E37</f>
        <v>2000000</v>
      </c>
      <c r="F39" s="27"/>
      <c r="G39" s="37">
        <f>G31+G37</f>
        <v>1933000</v>
      </c>
      <c r="H39" s="27"/>
      <c r="I39" s="37">
        <f>I31+I37</f>
        <v>1866000</v>
      </c>
      <c r="J39" s="27"/>
      <c r="K39" s="37">
        <f>K31+K37</f>
        <v>1799000</v>
      </c>
    </row>
    <row r="40" spans="1:11" ht="13.5" customHeight="1">
      <c r="A40" s="25"/>
      <c r="B40" s="25"/>
      <c r="C40" s="142"/>
      <c r="D40" s="27"/>
      <c r="E40" s="37"/>
      <c r="F40" s="27"/>
      <c r="G40" s="37"/>
      <c r="H40" s="27"/>
      <c r="I40" s="37"/>
      <c r="J40" s="27"/>
      <c r="K40" s="37"/>
    </row>
    <row r="41" spans="1:11" ht="13.5" customHeight="1">
      <c r="A41" s="41" t="s">
        <v>123</v>
      </c>
      <c r="B41" s="24"/>
      <c r="C41" s="130"/>
      <c r="D41" s="39"/>
      <c r="E41" s="174">
        <v>0</v>
      </c>
      <c r="F41" s="173"/>
      <c r="G41" s="174">
        <v>0</v>
      </c>
      <c r="H41" s="173"/>
      <c r="I41" s="174">
        <v>0</v>
      </c>
      <c r="J41" s="173"/>
      <c r="K41" s="174">
        <v>0</v>
      </c>
    </row>
    <row r="42" spans="1:11" ht="13.5" customHeight="1">
      <c r="A42" s="25"/>
      <c r="B42" s="25"/>
      <c r="C42" s="141"/>
      <c r="D42" s="27"/>
      <c r="E42" s="30"/>
      <c r="F42" s="27"/>
      <c r="G42" s="30"/>
      <c r="H42" s="27"/>
      <c r="I42" s="30"/>
      <c r="J42" s="27"/>
      <c r="K42" s="30"/>
    </row>
    <row r="43" spans="1:11" ht="13.5" customHeight="1">
      <c r="A43" s="25"/>
      <c r="B43" s="25"/>
      <c r="C43" s="141"/>
      <c r="D43" s="27"/>
      <c r="E43" s="30"/>
      <c r="F43" s="27"/>
      <c r="G43" s="30"/>
      <c r="H43" s="27"/>
      <c r="I43" s="30"/>
      <c r="J43" s="27"/>
      <c r="K43" s="30"/>
    </row>
    <row r="44" spans="1:11" ht="13.5" customHeight="1" thickBot="1">
      <c r="A44" s="1" t="s">
        <v>103</v>
      </c>
      <c r="B44" s="25"/>
      <c r="C44" s="135"/>
      <c r="D44" s="43"/>
      <c r="E44" s="42">
        <f>E17+E24+E39+E41</f>
        <v>2000000</v>
      </c>
      <c r="F44" s="43"/>
      <c r="G44" s="42">
        <f>G17+G24+G39+G41</f>
        <v>1933000</v>
      </c>
      <c r="H44" s="43"/>
      <c r="I44" s="42">
        <f>I17+I24+I39+I41</f>
        <v>1866000</v>
      </c>
      <c r="J44" s="43"/>
      <c r="K44" s="42">
        <f>K17+K24+K39+K41</f>
        <v>1799000</v>
      </c>
    </row>
    <row r="45" spans="1:11" ht="13.5" customHeight="1" thickTop="1">
      <c r="A45" s="25"/>
      <c r="B45" s="25"/>
      <c r="C45" s="143"/>
      <c r="D45" s="21"/>
      <c r="E45" s="21"/>
      <c r="F45" s="21"/>
      <c r="G45" s="21"/>
      <c r="H45" s="21"/>
      <c r="I45" s="21"/>
      <c r="J45" s="21"/>
      <c r="K45" s="21"/>
    </row>
    <row r="46" spans="1:11" ht="13.5" customHeight="1">
      <c r="A46" s="25"/>
      <c r="B46" s="25"/>
      <c r="C46" s="143"/>
      <c r="D46" s="21"/>
      <c r="E46" s="21"/>
      <c r="F46" s="21"/>
      <c r="G46" s="44"/>
      <c r="H46" s="21"/>
      <c r="I46" s="44"/>
      <c r="J46" s="21"/>
      <c r="K46" s="44"/>
    </row>
    <row r="47" spans="1:11" ht="13.5" customHeight="1">
      <c r="A47" s="25"/>
      <c r="B47" s="25"/>
      <c r="C47" s="143"/>
      <c r="D47" s="21"/>
      <c r="E47" s="21"/>
      <c r="F47" s="21"/>
      <c r="G47" s="21"/>
      <c r="H47" s="21"/>
      <c r="I47" s="21"/>
      <c r="J47" s="21"/>
      <c r="K47" s="21"/>
    </row>
    <row r="48" spans="1:11" ht="13.5" customHeight="1">
      <c r="A48" s="1" t="s">
        <v>124</v>
      </c>
      <c r="B48" s="25"/>
      <c r="C48" s="143"/>
      <c r="D48" s="21"/>
      <c r="E48" s="21"/>
      <c r="F48" s="21"/>
      <c r="G48" s="21"/>
      <c r="H48" s="21"/>
      <c r="I48" s="21"/>
      <c r="J48" s="21"/>
      <c r="K48" s="21"/>
    </row>
    <row r="49" spans="3:11" ht="13.5" customHeight="1">
      <c r="C49" s="143"/>
      <c r="D49" s="21"/>
      <c r="E49" s="21"/>
      <c r="F49" s="21"/>
      <c r="G49" s="21"/>
      <c r="H49" s="21"/>
      <c r="I49" s="21"/>
      <c r="J49" s="21"/>
      <c r="K49" s="21"/>
    </row>
    <row r="50" spans="1:11" ht="13.5" customHeight="1">
      <c r="A50" s="1" t="s">
        <v>125</v>
      </c>
      <c r="C50" s="143"/>
      <c r="D50" s="21"/>
      <c r="E50" s="21"/>
      <c r="F50" s="21"/>
      <c r="G50" s="21"/>
      <c r="H50" s="21"/>
      <c r="I50" s="21"/>
      <c r="J50" s="21"/>
      <c r="K50" s="21"/>
    </row>
    <row r="51" spans="2:11" ht="13.5" customHeight="1">
      <c r="B51" s="24" t="s">
        <v>126</v>
      </c>
      <c r="C51" s="136"/>
      <c r="D51" s="38"/>
      <c r="E51" s="170">
        <v>0</v>
      </c>
      <c r="F51" s="171"/>
      <c r="G51" s="170">
        <v>0</v>
      </c>
      <c r="H51" s="171"/>
      <c r="I51" s="170">
        <v>0</v>
      </c>
      <c r="J51" s="171"/>
      <c r="K51" s="170">
        <v>0</v>
      </c>
    </row>
    <row r="52" spans="2:11" ht="13.5" customHeight="1">
      <c r="B52" s="24" t="s">
        <v>127</v>
      </c>
      <c r="C52" s="136"/>
      <c r="D52" s="38"/>
      <c r="E52" s="172">
        <v>0</v>
      </c>
      <c r="F52" s="171"/>
      <c r="G52" s="172">
        <v>0</v>
      </c>
      <c r="H52" s="171"/>
      <c r="I52" s="172">
        <v>0</v>
      </c>
      <c r="J52" s="171"/>
      <c r="K52" s="172">
        <v>0</v>
      </c>
    </row>
    <row r="53" spans="2:11" ht="13.5" customHeight="1">
      <c r="B53" s="24" t="s">
        <v>128</v>
      </c>
      <c r="C53" s="136"/>
      <c r="D53" s="38"/>
      <c r="E53" s="172">
        <v>0</v>
      </c>
      <c r="F53" s="171"/>
      <c r="G53" s="172">
        <v>0</v>
      </c>
      <c r="H53" s="171"/>
      <c r="I53" s="172">
        <v>0</v>
      </c>
      <c r="J53" s="171"/>
      <c r="K53" s="172">
        <v>0</v>
      </c>
    </row>
    <row r="54" spans="2:11" ht="13.5" customHeight="1">
      <c r="B54" s="24" t="s">
        <v>129</v>
      </c>
      <c r="C54" s="136"/>
      <c r="D54" s="38"/>
      <c r="E54" s="172">
        <v>0</v>
      </c>
      <c r="F54" s="171"/>
      <c r="G54" s="172">
        <v>0</v>
      </c>
      <c r="H54" s="171"/>
      <c r="I54" s="172">
        <v>0</v>
      </c>
      <c r="J54" s="171"/>
      <c r="K54" s="172">
        <v>0</v>
      </c>
    </row>
    <row r="55" spans="2:11" ht="13.5" customHeight="1">
      <c r="B55" s="24" t="s">
        <v>130</v>
      </c>
      <c r="C55" s="130"/>
      <c r="D55" s="39"/>
      <c r="E55" s="168">
        <v>0</v>
      </c>
      <c r="F55" s="173"/>
      <c r="G55" s="168">
        <v>0</v>
      </c>
      <c r="H55" s="173"/>
      <c r="I55" s="168">
        <v>0</v>
      </c>
      <c r="J55" s="173"/>
      <c r="K55" s="168">
        <v>0</v>
      </c>
    </row>
    <row r="56" spans="2:11" ht="13.5" customHeight="1">
      <c r="B56" s="1" t="s">
        <v>131</v>
      </c>
      <c r="C56" s="138"/>
      <c r="D56" s="15"/>
      <c r="E56" s="31">
        <f>SUM(E51:E55)</f>
        <v>0</v>
      </c>
      <c r="F56" s="15"/>
      <c r="G56" s="31">
        <f>SUM(G51:G55)</f>
        <v>0</v>
      </c>
      <c r="H56" s="15"/>
      <c r="I56" s="31">
        <f>SUM(I51:I55)</f>
        <v>0</v>
      </c>
      <c r="J56" s="15"/>
      <c r="K56" s="31">
        <f>SUM(K51:K55)</f>
        <v>0</v>
      </c>
    </row>
    <row r="57" spans="3:11" ht="13.5" customHeight="1">
      <c r="C57" s="143"/>
      <c r="D57" s="21"/>
      <c r="E57" s="21"/>
      <c r="F57" s="21"/>
      <c r="G57" s="21"/>
      <c r="H57" s="21"/>
      <c r="I57" s="21"/>
      <c r="J57" s="21"/>
      <c r="K57" s="21"/>
    </row>
    <row r="58" spans="1:11" ht="13.5" customHeight="1">
      <c r="A58" s="1" t="s">
        <v>132</v>
      </c>
      <c r="C58" s="143"/>
      <c r="D58" s="21"/>
      <c r="E58" s="21"/>
      <c r="F58" s="21"/>
      <c r="G58" s="21"/>
      <c r="H58" s="21"/>
      <c r="I58" s="21"/>
      <c r="J58" s="21"/>
      <c r="K58" s="21"/>
    </row>
    <row r="59" spans="2:11" ht="13.5" customHeight="1">
      <c r="B59" s="24" t="s">
        <v>133</v>
      </c>
      <c r="C59" s="136"/>
      <c r="D59" s="38"/>
      <c r="E59" s="170">
        <v>0</v>
      </c>
      <c r="F59" s="171"/>
      <c r="G59" s="170">
        <v>0</v>
      </c>
      <c r="H59" s="171"/>
      <c r="I59" s="170">
        <v>0</v>
      </c>
      <c r="J59" s="171"/>
      <c r="K59" s="170">
        <v>0</v>
      </c>
    </row>
    <row r="60" spans="2:11" ht="13.5" customHeight="1">
      <c r="B60" s="24" t="s">
        <v>134</v>
      </c>
      <c r="C60" s="136"/>
      <c r="D60" s="38"/>
      <c r="E60" s="172">
        <v>0</v>
      </c>
      <c r="F60" s="171"/>
      <c r="G60" s="172">
        <v>0</v>
      </c>
      <c r="H60" s="171"/>
      <c r="I60" s="172">
        <v>0</v>
      </c>
      <c r="J60" s="171"/>
      <c r="K60" s="172">
        <v>0</v>
      </c>
    </row>
    <row r="61" spans="2:11" ht="13.5" customHeight="1">
      <c r="B61" s="24" t="s">
        <v>135</v>
      </c>
      <c r="C61" s="130"/>
      <c r="D61" s="39"/>
      <c r="E61" s="168">
        <v>0</v>
      </c>
      <c r="F61" s="173"/>
      <c r="G61" s="168">
        <v>0</v>
      </c>
      <c r="H61" s="173"/>
      <c r="I61" s="168">
        <v>0</v>
      </c>
      <c r="J61" s="173"/>
      <c r="K61" s="168">
        <v>0</v>
      </c>
    </row>
    <row r="62" spans="2:11" ht="13.5" customHeight="1">
      <c r="B62" s="1" t="s">
        <v>136</v>
      </c>
      <c r="C62" s="138"/>
      <c r="D62" s="15"/>
      <c r="E62" s="31">
        <f>SUM(E59:E61)</f>
        <v>0</v>
      </c>
      <c r="F62" s="15"/>
      <c r="G62" s="31">
        <f>SUM(G59:G61)</f>
        <v>0</v>
      </c>
      <c r="H62" s="15"/>
      <c r="I62" s="31">
        <f>SUM(I59:I61)</f>
        <v>0</v>
      </c>
      <c r="J62" s="15"/>
      <c r="K62" s="31">
        <f>SUM(K59:K61)</f>
        <v>0</v>
      </c>
    </row>
    <row r="63" spans="3:11" ht="13.5" customHeight="1">
      <c r="C63" s="143"/>
      <c r="D63" s="21"/>
      <c r="E63" s="21"/>
      <c r="F63" s="21"/>
      <c r="G63" s="21"/>
      <c r="H63" s="21"/>
      <c r="I63" s="21"/>
      <c r="J63" s="21"/>
      <c r="K63" s="21"/>
    </row>
    <row r="64" spans="1:11" ht="13.5" customHeight="1">
      <c r="A64" s="41" t="s">
        <v>137</v>
      </c>
      <c r="C64" s="130"/>
      <c r="D64" s="39"/>
      <c r="E64" s="174">
        <v>2000000</v>
      </c>
      <c r="F64" s="173"/>
      <c r="G64" s="174">
        <f>E64-67000</f>
        <v>1933000</v>
      </c>
      <c r="H64" s="173"/>
      <c r="I64" s="174">
        <f>G64-67000</f>
        <v>1866000</v>
      </c>
      <c r="J64" s="173"/>
      <c r="K64" s="174">
        <f>I64-67000</f>
        <v>1799000</v>
      </c>
    </row>
    <row r="65" spans="3:11" ht="13.5" customHeight="1">
      <c r="C65" s="143"/>
      <c r="D65" s="21"/>
      <c r="E65" s="21"/>
      <c r="F65" s="21"/>
      <c r="G65" s="21"/>
      <c r="H65" s="21"/>
      <c r="I65" s="21"/>
      <c r="J65" s="21"/>
      <c r="K65" s="21"/>
    </row>
    <row r="66" spans="1:11" ht="13.5" customHeight="1">
      <c r="A66" s="1" t="s">
        <v>138</v>
      </c>
      <c r="C66" s="136"/>
      <c r="D66" s="27"/>
      <c r="E66" s="37">
        <f>E56+E62+E64</f>
        <v>2000000</v>
      </c>
      <c r="F66" s="27"/>
      <c r="G66" s="37">
        <f>G56+G62+G64</f>
        <v>1933000</v>
      </c>
      <c r="H66" s="27"/>
      <c r="I66" s="37">
        <f>I56+I62+I64</f>
        <v>1866000</v>
      </c>
      <c r="J66" s="27"/>
      <c r="K66" s="37">
        <f>K56+K62+K64</f>
        <v>1799000</v>
      </c>
    </row>
    <row r="67" spans="3:11" ht="13.5" customHeight="1">
      <c r="C67" s="143"/>
      <c r="D67" s="21"/>
      <c r="E67" s="21"/>
      <c r="F67" s="21"/>
      <c r="G67" s="21"/>
      <c r="H67" s="21"/>
      <c r="I67" s="21"/>
      <c r="J67" s="21"/>
      <c r="K67" s="21"/>
    </row>
    <row r="68" spans="1:11" ht="13.5" customHeight="1">
      <c r="A68" s="41" t="s">
        <v>139</v>
      </c>
      <c r="C68" s="130"/>
      <c r="D68" s="39"/>
      <c r="E68" s="174">
        <v>0</v>
      </c>
      <c r="F68" s="173"/>
      <c r="G68" s="174">
        <v>0</v>
      </c>
      <c r="H68" s="173"/>
      <c r="I68" s="174">
        <v>0</v>
      </c>
      <c r="J68" s="173"/>
      <c r="K68" s="174">
        <v>0</v>
      </c>
    </row>
    <row r="69" spans="3:11" ht="13.5" customHeight="1">
      <c r="C69" s="143"/>
      <c r="D69" s="21"/>
      <c r="E69" s="21"/>
      <c r="F69" s="21"/>
      <c r="G69" s="21"/>
      <c r="H69" s="21"/>
      <c r="I69" s="21"/>
      <c r="J69" s="21"/>
      <c r="K69" s="21"/>
    </row>
    <row r="70" spans="3:11" ht="13.5" customHeight="1">
      <c r="C70" s="143"/>
      <c r="D70" s="21"/>
      <c r="E70" s="21"/>
      <c r="F70" s="21"/>
      <c r="G70" s="21"/>
      <c r="H70" s="21"/>
      <c r="I70" s="21"/>
      <c r="J70" s="21"/>
      <c r="K70" s="21"/>
    </row>
    <row r="71" spans="1:11" ht="13.5" customHeight="1" thickBot="1">
      <c r="A71" s="1" t="s">
        <v>104</v>
      </c>
      <c r="C71" s="135"/>
      <c r="D71" s="43"/>
      <c r="E71" s="42">
        <f>E66+E68</f>
        <v>2000000</v>
      </c>
      <c r="F71" s="43"/>
      <c r="G71" s="42">
        <f>G66+G68</f>
        <v>1933000</v>
      </c>
      <c r="H71" s="43"/>
      <c r="I71" s="42">
        <f>I66+I68</f>
        <v>1866000</v>
      </c>
      <c r="J71" s="43"/>
      <c r="K71" s="42">
        <f>K66+K68</f>
        <v>1799000</v>
      </c>
    </row>
    <row r="72" spans="3:11" ht="13.5" thickTop="1">
      <c r="C72" s="21"/>
      <c r="D72" s="21"/>
      <c r="E72" s="21"/>
      <c r="F72" s="21"/>
      <c r="G72" s="21"/>
      <c r="H72" s="21"/>
      <c r="I72" s="21"/>
      <c r="J72" s="21"/>
      <c r="K72" s="21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85" zoomScaleNormal="85" zoomScalePageLayoutView="0" workbookViewId="0" topLeftCell="A1">
      <selection activeCell="C9" sqref="C9:K9"/>
    </sheetView>
  </sheetViews>
  <sheetFormatPr defaultColWidth="9.140625" defaultRowHeight="12.75"/>
  <cols>
    <col min="1" max="1" width="2.7109375" style="0" customWidth="1"/>
    <col min="2" max="2" width="35.42187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2" t="str">
        <f>'Table 1'!A1:C1</f>
        <v>Northeast Kingdom Human Services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tr">
        <f>'Table 1'!A2:C2</f>
        <v>Front Porch Residential Facility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195" t="s">
        <v>188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4.25">
      <c r="A4" s="195" t="s">
        <v>102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4.25">
      <c r="A5" s="195" t="s">
        <v>75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13.5" customHeight="1"/>
    <row r="7" spans="3:11" ht="13.5" customHeight="1">
      <c r="C7" s="1"/>
      <c r="D7" s="1"/>
      <c r="E7" s="13"/>
      <c r="F7" s="1"/>
      <c r="G7" s="13" t="s">
        <v>0</v>
      </c>
      <c r="H7" s="25"/>
      <c r="I7" s="13" t="s">
        <v>0</v>
      </c>
      <c r="J7" s="25"/>
      <c r="K7" s="13" t="s">
        <v>0</v>
      </c>
    </row>
    <row r="8" spans="1:11" ht="13.5" customHeight="1">
      <c r="A8" s="1" t="s">
        <v>105</v>
      </c>
      <c r="C8" s="13" t="s">
        <v>70</v>
      </c>
      <c r="D8" s="28"/>
      <c r="E8" s="13" t="s">
        <v>185</v>
      </c>
      <c r="F8" s="28"/>
      <c r="G8" s="13" t="s">
        <v>1</v>
      </c>
      <c r="H8" s="28"/>
      <c r="I8" s="13" t="s">
        <v>2</v>
      </c>
      <c r="J8" s="28"/>
      <c r="K8" s="13" t="s">
        <v>3</v>
      </c>
    </row>
    <row r="9" spans="3:11" ht="13.5" customHeight="1">
      <c r="C9" s="180">
        <v>44957</v>
      </c>
      <c r="D9" s="29"/>
      <c r="E9" s="181">
        <f>C9+365</f>
        <v>45322</v>
      </c>
      <c r="F9" s="29"/>
      <c r="G9" s="181">
        <f>E9+365</f>
        <v>45687</v>
      </c>
      <c r="H9" s="29"/>
      <c r="I9" s="181">
        <f>G9+365</f>
        <v>46052</v>
      </c>
      <c r="J9" s="29"/>
      <c r="K9" s="181">
        <f>I9+365</f>
        <v>46417</v>
      </c>
    </row>
    <row r="10" spans="1:10" ht="13.5" customHeight="1">
      <c r="A10" s="1" t="s">
        <v>106</v>
      </c>
      <c r="B10" s="25"/>
      <c r="D10" s="25"/>
      <c r="F10" s="25"/>
      <c r="H10" s="25"/>
      <c r="J10" s="25"/>
    </row>
    <row r="11" spans="1:11" ht="13.5" customHeight="1">
      <c r="A11" s="25"/>
      <c r="B11" s="25" t="s">
        <v>107</v>
      </c>
      <c r="C11" s="37">
        <f>'Table 4A'!C11+'Table 4B'!C11</f>
        <v>12567476</v>
      </c>
      <c r="D11" s="27"/>
      <c r="E11" s="37">
        <f>'Table 4A'!E11+'Table 4B'!E11</f>
        <v>12567476</v>
      </c>
      <c r="F11" s="27"/>
      <c r="G11" s="37">
        <f>'Table 4A'!G11+'Table 4B'!G11</f>
        <v>12756591</v>
      </c>
      <c r="H11" s="27"/>
      <c r="I11" s="37">
        <f>'Table 4A'!I11+'Table 4B'!I11</f>
        <v>12956591</v>
      </c>
      <c r="J11" s="27"/>
      <c r="K11" s="37">
        <f>'Table 4A'!K11+'Table 4B'!K11</f>
        <v>13181591</v>
      </c>
    </row>
    <row r="12" spans="1:11" ht="13.5" customHeight="1">
      <c r="A12" s="25"/>
      <c r="B12" s="25" t="s">
        <v>108</v>
      </c>
      <c r="C12" s="30">
        <f>'Table 4A'!C12+'Table 4B'!C12</f>
        <v>4671206</v>
      </c>
      <c r="D12" s="27"/>
      <c r="E12" s="30">
        <f>'Table 4A'!E12+'Table 4B'!E12</f>
        <v>4471206</v>
      </c>
      <c r="F12" s="27"/>
      <c r="G12" s="30">
        <f>'Table 4A'!G12+'Table 4B'!G12</f>
        <v>4471206</v>
      </c>
      <c r="H12" s="27"/>
      <c r="I12" s="30">
        <f>'Table 4A'!I12+'Table 4B'!I12</f>
        <v>4471206</v>
      </c>
      <c r="J12" s="27"/>
      <c r="K12" s="30">
        <f>'Table 4A'!K12+'Table 4B'!K12</f>
        <v>4471206</v>
      </c>
    </row>
    <row r="13" spans="1:11" ht="13.5" customHeight="1">
      <c r="A13" s="25"/>
      <c r="B13" s="36" t="s">
        <v>109</v>
      </c>
      <c r="C13" s="30">
        <f>'Table 4A'!C13+'Table 4B'!C13</f>
        <v>0</v>
      </c>
      <c r="D13" s="27"/>
      <c r="E13" s="30">
        <f>'Table 4A'!E13+'Table 4B'!E13</f>
        <v>0</v>
      </c>
      <c r="F13" s="27"/>
      <c r="G13" s="30">
        <f>'Table 4A'!G13+'Table 4B'!G13</f>
        <v>0</v>
      </c>
      <c r="H13" s="27"/>
      <c r="I13" s="30">
        <f>'Table 4A'!I13+'Table 4B'!I13</f>
        <v>0</v>
      </c>
      <c r="J13" s="27"/>
      <c r="K13" s="30">
        <f>'Table 4A'!K13+'Table 4B'!K13</f>
        <v>0</v>
      </c>
    </row>
    <row r="14" spans="1:11" ht="13.5" customHeight="1">
      <c r="A14" s="25"/>
      <c r="B14" s="25" t="s">
        <v>110</v>
      </c>
      <c r="C14" s="30">
        <f>'Table 4A'!C14+'Table 4B'!C14</f>
        <v>0</v>
      </c>
      <c r="D14" s="27"/>
      <c r="E14" s="30">
        <f>'Table 4A'!E14+'Table 4B'!E14</f>
        <v>0</v>
      </c>
      <c r="F14" s="27"/>
      <c r="G14" s="30">
        <f>'Table 4A'!G14+'Table 4B'!G14</f>
        <v>0</v>
      </c>
      <c r="H14" s="27"/>
      <c r="I14" s="30">
        <f>'Table 4A'!I14+'Table 4B'!I14</f>
        <v>0</v>
      </c>
      <c r="J14" s="27"/>
      <c r="K14" s="30">
        <f>'Table 4A'!K14+'Table 4B'!K14</f>
        <v>0</v>
      </c>
    </row>
    <row r="15" spans="1:11" ht="13.5" customHeight="1">
      <c r="A15" s="25"/>
      <c r="B15" s="25" t="s">
        <v>111</v>
      </c>
      <c r="C15" s="12">
        <f>'Table 4A'!C15+'Table 4B'!C15</f>
        <v>990441</v>
      </c>
      <c r="D15" s="15"/>
      <c r="E15" s="12">
        <f>'Table 4A'!E15+'Table 4B'!E15</f>
        <v>1200441</v>
      </c>
      <c r="F15" s="15"/>
      <c r="G15" s="12">
        <f>'Table 4A'!G15+'Table 4B'!G15</f>
        <v>1200441</v>
      </c>
      <c r="H15" s="15"/>
      <c r="I15" s="12">
        <f>'Table 4A'!I15+'Table 4B'!I15</f>
        <v>1200441</v>
      </c>
      <c r="J15" s="15"/>
      <c r="K15" s="12">
        <f>'Table 4A'!K15+'Table 4B'!K15</f>
        <v>1200441</v>
      </c>
    </row>
    <row r="16" spans="1:11" ht="13.5" customHeight="1">
      <c r="A16" s="25"/>
      <c r="B16" s="25"/>
      <c r="C16" s="30"/>
      <c r="D16" s="27"/>
      <c r="E16" s="30"/>
      <c r="F16" s="27"/>
      <c r="G16" s="30"/>
      <c r="H16" s="27"/>
      <c r="I16" s="30"/>
      <c r="J16" s="27"/>
      <c r="K16" s="30"/>
    </row>
    <row r="17" spans="2:11" ht="13.5" customHeight="1">
      <c r="B17" s="1" t="s">
        <v>112</v>
      </c>
      <c r="C17" s="31">
        <f>SUM(C11:C15)</f>
        <v>18229123</v>
      </c>
      <c r="D17" s="15"/>
      <c r="E17" s="31">
        <f>SUM(E11:E15)</f>
        <v>18239123</v>
      </c>
      <c r="F17" s="15"/>
      <c r="G17" s="31">
        <f>SUM(G11:G15)</f>
        <v>18428238</v>
      </c>
      <c r="H17" s="15"/>
      <c r="I17" s="31">
        <f>SUM(I11:I15)</f>
        <v>18628238</v>
      </c>
      <c r="J17" s="15"/>
      <c r="K17" s="31">
        <f>SUM(K11:K15)</f>
        <v>18853238</v>
      </c>
    </row>
    <row r="18" spans="1:11" ht="13.5" customHeight="1">
      <c r="A18" s="25"/>
      <c r="B18" s="25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3.5" customHeight="1">
      <c r="A19" s="1" t="s">
        <v>113</v>
      </c>
      <c r="B19" s="25"/>
      <c r="C19" s="37"/>
      <c r="D19" s="27"/>
      <c r="E19" s="37"/>
      <c r="F19" s="27"/>
      <c r="G19" s="37"/>
      <c r="H19" s="27"/>
      <c r="I19" s="37"/>
      <c r="J19" s="27"/>
      <c r="K19" s="37"/>
    </row>
    <row r="20" spans="1:11" ht="13.5" customHeight="1">
      <c r="A20" s="25"/>
      <c r="B20" s="25" t="s">
        <v>41</v>
      </c>
      <c r="C20" s="37">
        <f>'Table 4A'!C20+'Table 4B'!C20</f>
        <v>0</v>
      </c>
      <c r="D20" s="27"/>
      <c r="E20" s="37">
        <f>'Table 4A'!E20+'Table 4B'!E20</f>
        <v>0</v>
      </c>
      <c r="F20" s="27"/>
      <c r="G20" s="37">
        <f>'Table 4A'!G20+'Table 4B'!G20</f>
        <v>0</v>
      </c>
      <c r="H20" s="27"/>
      <c r="I20" s="37">
        <f>'Table 4A'!I20+'Table 4B'!I20</f>
        <v>0</v>
      </c>
      <c r="J20" s="27"/>
      <c r="K20" s="37">
        <f>'Table 4A'!K20+'Table 4B'!K20</f>
        <v>0</v>
      </c>
    </row>
    <row r="21" spans="1:11" ht="13.5" customHeight="1">
      <c r="A21" s="25"/>
      <c r="B21" s="25" t="s">
        <v>114</v>
      </c>
      <c r="C21" s="30">
        <f>'Table 4A'!C21+'Table 4B'!C21</f>
        <v>0</v>
      </c>
      <c r="D21" s="27"/>
      <c r="E21" s="30">
        <f>'Table 4A'!E21+'Table 4B'!E21</f>
        <v>0</v>
      </c>
      <c r="F21" s="27"/>
      <c r="G21" s="30">
        <f>'Table 4A'!G21+'Table 4B'!G21</f>
        <v>0</v>
      </c>
      <c r="H21" s="27"/>
      <c r="I21" s="30">
        <f>'Table 4A'!I21+'Table 4B'!I21</f>
        <v>0</v>
      </c>
      <c r="J21" s="27"/>
      <c r="K21" s="30">
        <f>'Table 4A'!K21+'Table 4B'!K21</f>
        <v>0</v>
      </c>
    </row>
    <row r="22" spans="1:11" ht="13.5" customHeight="1">
      <c r="A22" s="25"/>
      <c r="B22" s="25" t="s">
        <v>21</v>
      </c>
      <c r="C22" s="12">
        <f>'Table 4A'!C22+'Table 4B'!C22</f>
        <v>0</v>
      </c>
      <c r="D22" s="15"/>
      <c r="E22" s="12">
        <f>'Table 4A'!E22+'Table 4B'!E22</f>
        <v>0</v>
      </c>
      <c r="F22" s="15"/>
      <c r="G22" s="12">
        <f>'Table 4A'!G22+'Table 4B'!G22</f>
        <v>0</v>
      </c>
      <c r="H22" s="15"/>
      <c r="I22" s="12">
        <f>'Table 4A'!I22+'Table 4B'!I22</f>
        <v>0</v>
      </c>
      <c r="J22" s="15"/>
      <c r="K22" s="12">
        <f>'Table 4A'!K22+'Table 4B'!K22</f>
        <v>0</v>
      </c>
    </row>
    <row r="23" spans="1:11" ht="13.5" customHeight="1">
      <c r="A23" s="25"/>
      <c r="B23" s="25"/>
      <c r="C23" s="37"/>
      <c r="D23" s="27"/>
      <c r="E23" s="37"/>
      <c r="F23" s="27"/>
      <c r="G23" s="37"/>
      <c r="H23" s="27"/>
      <c r="I23" s="37"/>
      <c r="J23" s="27"/>
      <c r="K23" s="37"/>
    </row>
    <row r="24" spans="1:11" ht="13.5" customHeight="1">
      <c r="A24" s="25"/>
      <c r="B24" s="1" t="s">
        <v>115</v>
      </c>
      <c r="C24" s="31">
        <f>SUM(C20:C22)</f>
        <v>0</v>
      </c>
      <c r="D24" s="15"/>
      <c r="E24" s="31">
        <f>SUM(E20:E22)</f>
        <v>0</v>
      </c>
      <c r="F24" s="15"/>
      <c r="G24" s="31">
        <f>SUM(G20:G22)</f>
        <v>0</v>
      </c>
      <c r="H24" s="15"/>
      <c r="I24" s="31">
        <f>SUM(I20:I22)</f>
        <v>0</v>
      </c>
      <c r="J24" s="15"/>
      <c r="K24" s="31">
        <f>SUM(K20:K22)</f>
        <v>0</v>
      </c>
    </row>
    <row r="25" spans="1:11" ht="13.5" customHeight="1">
      <c r="A25" s="25"/>
      <c r="B25" s="25"/>
      <c r="C25" s="30"/>
      <c r="D25" s="27"/>
      <c r="E25" s="30"/>
      <c r="F25" s="27"/>
      <c r="G25" s="30"/>
      <c r="H25" s="27"/>
      <c r="I25" s="30"/>
      <c r="J25" s="27"/>
      <c r="K25" s="30"/>
    </row>
    <row r="26" spans="1:11" ht="13.5" customHeight="1">
      <c r="A26" s="1" t="s">
        <v>116</v>
      </c>
      <c r="B26" s="25"/>
      <c r="C26" s="37"/>
      <c r="D26" s="27"/>
      <c r="E26" s="37"/>
      <c r="F26" s="27"/>
      <c r="G26" s="37"/>
      <c r="H26" s="27"/>
      <c r="I26" s="37"/>
      <c r="J26" s="27"/>
      <c r="K26" s="37"/>
    </row>
    <row r="27" spans="1:11" ht="13.5" customHeight="1">
      <c r="A27" s="25"/>
      <c r="B27" s="25" t="s">
        <v>117</v>
      </c>
      <c r="C27" s="37">
        <f>'Table 4A'!C27+'Table 4B'!C27</f>
        <v>18985437.72</v>
      </c>
      <c r="D27" s="27"/>
      <c r="E27" s="37">
        <f>'Table 4A'!E27+'Table 4B'!E27</f>
        <v>21985438</v>
      </c>
      <c r="F27" s="27"/>
      <c r="G27" s="37">
        <f>'Table 4A'!G27+'Table 4B'!G27</f>
        <v>22235438</v>
      </c>
      <c r="H27" s="27"/>
      <c r="I27" s="37">
        <f>'Table 4A'!I27+'Table 4B'!I27</f>
        <v>22335438</v>
      </c>
      <c r="J27" s="27"/>
      <c r="K27" s="37">
        <f>'Table 4A'!K27+'Table 4B'!K27</f>
        <v>22435438</v>
      </c>
    </row>
    <row r="28" spans="1:12" ht="13.5" customHeight="1">
      <c r="A28" s="25"/>
      <c r="B28" s="25" t="s">
        <v>11</v>
      </c>
      <c r="C28" s="30">
        <f>'Table 4A'!C28+'Table 4B'!C28</f>
        <v>0</v>
      </c>
      <c r="D28" s="27"/>
      <c r="E28" s="30">
        <f>'Table 4A'!E28+'Table 4B'!E28</f>
        <v>0</v>
      </c>
      <c r="F28" s="27"/>
      <c r="G28" s="30">
        <f>'Table 4A'!G28+'Table 4B'!G28</f>
        <v>0</v>
      </c>
      <c r="H28" s="27"/>
      <c r="I28" s="30">
        <f>'Table 4A'!I28+'Table 4B'!I28</f>
        <v>0</v>
      </c>
      <c r="J28" s="27"/>
      <c r="K28" s="30">
        <f>'Table 4A'!K28+'Table 4B'!K28</f>
        <v>0</v>
      </c>
      <c r="L28" s="25"/>
    </row>
    <row r="29" spans="1:11" ht="13.5" customHeight="1">
      <c r="A29" s="25"/>
      <c r="B29" s="25" t="s">
        <v>15</v>
      </c>
      <c r="C29" s="30">
        <f>'Table 4A'!C29+'Table 4B'!C29</f>
        <v>0</v>
      </c>
      <c r="D29" s="27"/>
      <c r="E29" s="30">
        <f>'Table 4A'!E29+'Table 4B'!E29</f>
        <v>0</v>
      </c>
      <c r="F29" s="27"/>
      <c r="G29" s="30">
        <f>'Table 4A'!G29+'Table 4B'!G29</f>
        <v>0</v>
      </c>
      <c r="H29" s="27"/>
      <c r="I29" s="30">
        <f>'Table 4A'!I29+'Table 4B'!I29</f>
        <v>0</v>
      </c>
      <c r="J29" s="27"/>
      <c r="K29" s="30">
        <f>'Table 4A'!K29+'Table 4B'!K29</f>
        <v>0</v>
      </c>
    </row>
    <row r="30" spans="1:11" ht="13.5" customHeight="1">
      <c r="A30" s="25"/>
      <c r="B30" s="25" t="s">
        <v>118</v>
      </c>
      <c r="C30" s="12">
        <f>'Table 4A'!C30+'Table 4B'!C30</f>
        <v>0</v>
      </c>
      <c r="D30" s="15"/>
      <c r="E30" s="12">
        <f>'Table 4A'!E30+'Table 4B'!E30</f>
        <v>0</v>
      </c>
      <c r="F30" s="15"/>
      <c r="G30" s="12">
        <f>'Table 4A'!G30+'Table 4B'!G30</f>
        <v>0</v>
      </c>
      <c r="H30" s="15"/>
      <c r="I30" s="12">
        <f>'Table 4A'!I30+'Table 4B'!I30</f>
        <v>0</v>
      </c>
      <c r="J30" s="15"/>
      <c r="K30" s="12">
        <f>'Table 4A'!K30+'Table 4B'!K30</f>
        <v>0</v>
      </c>
    </row>
    <row r="31" spans="1:11" ht="13.5" customHeight="1">
      <c r="A31" s="25"/>
      <c r="B31" s="1" t="s">
        <v>119</v>
      </c>
      <c r="C31" s="31">
        <f>SUM(C27:C30)</f>
        <v>18985437.72</v>
      </c>
      <c r="D31" s="15"/>
      <c r="E31" s="31">
        <f>SUM(E27:E30)</f>
        <v>21985438</v>
      </c>
      <c r="F31" s="15"/>
      <c r="G31" s="31">
        <f>SUM(G27:G30)</f>
        <v>22235438</v>
      </c>
      <c r="H31" s="15"/>
      <c r="I31" s="31">
        <f>SUM(I27:I30)</f>
        <v>22335438</v>
      </c>
      <c r="J31" s="15"/>
      <c r="K31" s="31">
        <f>SUM(K27:K30)</f>
        <v>22435438</v>
      </c>
    </row>
    <row r="32" spans="1:11" ht="13.5" customHeight="1">
      <c r="A32" s="25"/>
      <c r="B32" s="25"/>
      <c r="C32" s="30"/>
      <c r="D32" s="27"/>
      <c r="E32" s="30"/>
      <c r="F32" s="27"/>
      <c r="G32" s="30"/>
      <c r="H32" s="27"/>
      <c r="I32" s="30"/>
      <c r="J32" s="27"/>
      <c r="K32" s="30"/>
    </row>
    <row r="33" spans="1:11" ht="13.5" customHeight="1">
      <c r="A33" s="1" t="s">
        <v>120</v>
      </c>
      <c r="B33" s="25"/>
      <c r="C33" s="30"/>
      <c r="D33" s="27"/>
      <c r="E33" s="30"/>
      <c r="F33" s="27"/>
      <c r="G33" s="30"/>
      <c r="H33" s="27"/>
      <c r="I33" s="30"/>
      <c r="J33" s="27"/>
      <c r="K33" s="30"/>
    </row>
    <row r="34" spans="1:11" ht="13.5" customHeight="1">
      <c r="A34" s="25"/>
      <c r="B34" s="25" t="s">
        <v>117</v>
      </c>
      <c r="C34" s="37">
        <f>'Table 4A'!C34+'Table 4B'!C34</f>
        <v>-8738282.72</v>
      </c>
      <c r="D34" s="27"/>
      <c r="E34" s="37">
        <f>'Table 4A'!E34+'Table 4B'!E34</f>
        <v>-9133283</v>
      </c>
      <c r="F34" s="27"/>
      <c r="G34" s="37">
        <f>'Table 4A'!G34+'Table 4B'!G34</f>
        <v>-9340283</v>
      </c>
      <c r="H34" s="27"/>
      <c r="I34" s="37">
        <f>'Table 4A'!I34+'Table 4B'!I34</f>
        <v>-9547283</v>
      </c>
      <c r="J34" s="27"/>
      <c r="K34" s="37">
        <f>'Table 4A'!K34+'Table 4B'!K34</f>
        <v>-9764283</v>
      </c>
    </row>
    <row r="35" spans="1:11" ht="13.5" customHeight="1">
      <c r="A35" s="25"/>
      <c r="B35" s="25" t="s">
        <v>11</v>
      </c>
      <c r="C35" s="30">
        <f>'Table 4A'!C35+'Table 4B'!C35</f>
        <v>0</v>
      </c>
      <c r="D35" s="27"/>
      <c r="E35" s="30">
        <f>'Table 4A'!E35+'Table 4B'!E35</f>
        <v>0</v>
      </c>
      <c r="F35" s="27"/>
      <c r="G35" s="30">
        <f>'Table 4A'!G35+'Table 4B'!G35</f>
        <v>0</v>
      </c>
      <c r="H35" s="27"/>
      <c r="I35" s="30">
        <f>'Table 4A'!I35+'Table 4B'!I35</f>
        <v>0</v>
      </c>
      <c r="J35" s="27"/>
      <c r="K35" s="30">
        <f>'Table 4A'!K35+'Table 4B'!K35</f>
        <v>0</v>
      </c>
    </row>
    <row r="36" spans="1:11" ht="13.5" customHeight="1">
      <c r="A36" s="25"/>
      <c r="B36" s="25" t="s">
        <v>15</v>
      </c>
      <c r="C36" s="12">
        <f>'Table 4A'!C36+'Table 4B'!C36</f>
        <v>0</v>
      </c>
      <c r="D36" s="15"/>
      <c r="E36" s="12">
        <f>'Table 4A'!E36+'Table 4B'!E36</f>
        <v>0</v>
      </c>
      <c r="F36" s="15"/>
      <c r="G36" s="12">
        <f>'Table 4A'!G36+'Table 4B'!G36</f>
        <v>0</v>
      </c>
      <c r="H36" s="15"/>
      <c r="I36" s="12">
        <f>'Table 4A'!I36+'Table 4B'!I36</f>
        <v>0</v>
      </c>
      <c r="J36" s="15"/>
      <c r="K36" s="12">
        <f>'Table 4A'!K36+'Table 4B'!K36</f>
        <v>0</v>
      </c>
    </row>
    <row r="37" spans="1:11" ht="13.5" customHeight="1">
      <c r="A37" s="25"/>
      <c r="B37" s="1" t="s">
        <v>121</v>
      </c>
      <c r="C37" s="31">
        <f>SUM(C34:C36)</f>
        <v>-8738282.72</v>
      </c>
      <c r="D37" s="15"/>
      <c r="E37" s="31">
        <f>SUM(E34:E36)</f>
        <v>-9133283</v>
      </c>
      <c r="F37" s="15"/>
      <c r="G37" s="31">
        <f>SUM(G34:G36)</f>
        <v>-9340283</v>
      </c>
      <c r="H37" s="15"/>
      <c r="I37" s="31">
        <f>SUM(I34:I36)</f>
        <v>-9547283</v>
      </c>
      <c r="J37" s="15"/>
      <c r="K37" s="31">
        <f>SUM(K34:K36)</f>
        <v>-9764283</v>
      </c>
    </row>
    <row r="38" spans="1:11" ht="13.5" customHeight="1">
      <c r="A38" s="25"/>
      <c r="B38" s="25"/>
      <c r="C38" s="37"/>
      <c r="D38" s="27"/>
      <c r="E38" s="37"/>
      <c r="F38" s="27"/>
      <c r="G38" s="37"/>
      <c r="H38" s="27"/>
      <c r="I38" s="37"/>
      <c r="J38" s="27"/>
      <c r="K38" s="37"/>
    </row>
    <row r="39" spans="1:11" ht="13.5" customHeight="1">
      <c r="A39" s="1" t="s">
        <v>122</v>
      </c>
      <c r="B39" s="25"/>
      <c r="C39" s="37">
        <f>C31+C37</f>
        <v>10247154.999999998</v>
      </c>
      <c r="D39" s="27"/>
      <c r="E39" s="37">
        <f>E31+E37</f>
        <v>12852155</v>
      </c>
      <c r="F39" s="27"/>
      <c r="G39" s="37">
        <f>G31+G37</f>
        <v>12895155</v>
      </c>
      <c r="H39" s="27"/>
      <c r="I39" s="37">
        <f>I31+I37</f>
        <v>12788155</v>
      </c>
      <c r="J39" s="27"/>
      <c r="K39" s="37">
        <f>K31+K37</f>
        <v>12671155</v>
      </c>
    </row>
    <row r="40" spans="1:11" ht="13.5" customHeight="1">
      <c r="A40" s="25"/>
      <c r="B40" s="25"/>
      <c r="C40" s="37"/>
      <c r="D40" s="27"/>
      <c r="E40" s="37"/>
      <c r="F40" s="27"/>
      <c r="G40" s="37"/>
      <c r="H40" s="27"/>
      <c r="I40" s="37"/>
      <c r="J40" s="27"/>
      <c r="K40" s="37"/>
    </row>
    <row r="41" spans="1:11" ht="13.5" customHeight="1">
      <c r="A41" s="1" t="s">
        <v>123</v>
      </c>
      <c r="B41" s="25"/>
      <c r="C41" s="31">
        <f>'Table 4A'!C41+'Table 4B'!C41</f>
        <v>2763607.27</v>
      </c>
      <c r="D41" s="15"/>
      <c r="E41" s="31">
        <f>'Table 4A'!E41+'Table 4B'!E41</f>
        <v>2763607</v>
      </c>
      <c r="F41" s="15"/>
      <c r="G41" s="31">
        <f>'Table 4A'!G41+'Table 4B'!G41</f>
        <v>2763607</v>
      </c>
      <c r="H41" s="15"/>
      <c r="I41" s="31">
        <f>'Table 4A'!I41+'Table 4B'!I41</f>
        <v>2763607</v>
      </c>
      <c r="J41" s="15"/>
      <c r="K41" s="31">
        <f>'Table 4A'!K41+'Table 4B'!K41</f>
        <v>2763607</v>
      </c>
    </row>
    <row r="42" spans="1:11" ht="13.5" customHeight="1">
      <c r="A42" s="25"/>
      <c r="B42" s="25"/>
      <c r="C42" s="30"/>
      <c r="D42" s="27"/>
      <c r="E42" s="30"/>
      <c r="F42" s="27"/>
      <c r="G42" s="30"/>
      <c r="H42" s="27"/>
      <c r="I42" s="30"/>
      <c r="J42" s="27"/>
      <c r="K42" s="30"/>
    </row>
    <row r="43" spans="1:11" ht="13.5" customHeight="1">
      <c r="A43" s="25"/>
      <c r="B43" s="25"/>
      <c r="C43" s="30"/>
      <c r="D43" s="27"/>
      <c r="E43" s="30"/>
      <c r="F43" s="27"/>
      <c r="G43" s="30"/>
      <c r="H43" s="27"/>
      <c r="I43" s="30"/>
      <c r="J43" s="27"/>
      <c r="K43" s="30"/>
    </row>
    <row r="44" spans="1:11" ht="13.5" customHeight="1" thickBot="1">
      <c r="A44" s="1" t="s">
        <v>103</v>
      </c>
      <c r="B44" s="25"/>
      <c r="C44" s="42">
        <f>C17+C24+C39+C41</f>
        <v>31239885.27</v>
      </c>
      <c r="D44" s="43"/>
      <c r="E44" s="42">
        <f>E17+E24+E39+E41</f>
        <v>33854885</v>
      </c>
      <c r="F44" s="43"/>
      <c r="G44" s="42">
        <f>G17+G24+G39+G41</f>
        <v>34087000</v>
      </c>
      <c r="H44" s="43"/>
      <c r="I44" s="42">
        <f>I17+I24+I39+I41</f>
        <v>34180000</v>
      </c>
      <c r="J44" s="43"/>
      <c r="K44" s="42">
        <f>K17+K24+K39+K41</f>
        <v>34288000</v>
      </c>
    </row>
    <row r="45" spans="1:11" ht="13.5" customHeight="1" thickTop="1">
      <c r="A45" s="25"/>
      <c r="B45" s="25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3.5" customHeight="1">
      <c r="A46" s="25"/>
      <c r="B46" s="25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3.5" customHeight="1">
      <c r="A47" s="25"/>
      <c r="B47" s="25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3.5" customHeight="1">
      <c r="A48" s="1" t="s">
        <v>124</v>
      </c>
      <c r="B48" s="25"/>
      <c r="C48" s="21"/>
      <c r="D48" s="21"/>
      <c r="E48" s="21"/>
      <c r="F48" s="21"/>
      <c r="G48" s="21"/>
      <c r="H48" s="21"/>
      <c r="I48" s="21"/>
      <c r="J48" s="21"/>
      <c r="K48" s="21"/>
    </row>
    <row r="49" spans="2:11" ht="13.5" customHeight="1">
      <c r="B49" s="25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3.5" customHeight="1">
      <c r="A50" s="1" t="s">
        <v>125</v>
      </c>
      <c r="B50" s="25"/>
      <c r="C50" s="21"/>
      <c r="D50" s="21"/>
      <c r="E50" s="21"/>
      <c r="F50" s="21"/>
      <c r="G50" s="21"/>
      <c r="H50" s="21"/>
      <c r="I50" s="21"/>
      <c r="J50" s="21"/>
      <c r="K50" s="21"/>
    </row>
    <row r="51" spans="2:11" ht="13.5" customHeight="1">
      <c r="B51" s="25" t="s">
        <v>126</v>
      </c>
      <c r="C51" s="37">
        <f>'Table 4A'!C51+'Table 4B'!C51</f>
        <v>1662799.67</v>
      </c>
      <c r="D51" s="27"/>
      <c r="E51" s="37">
        <f>'Table 4A'!E51+'Table 4B'!E51</f>
        <v>1777799.67</v>
      </c>
      <c r="F51" s="27"/>
      <c r="G51" s="37">
        <f>'Table 4A'!G51+'Table 4B'!G51</f>
        <v>1877799.67</v>
      </c>
      <c r="H51" s="27"/>
      <c r="I51" s="37">
        <f>'Table 4A'!I51+'Table 4B'!I51</f>
        <v>1877799.67</v>
      </c>
      <c r="J51" s="27"/>
      <c r="K51" s="37">
        <f>'Table 4A'!K51+'Table 4B'!K51</f>
        <v>1897799.67</v>
      </c>
    </row>
    <row r="52" spans="2:11" ht="13.5" customHeight="1">
      <c r="B52" s="25" t="s">
        <v>127</v>
      </c>
      <c r="C52" s="30">
        <f>'Table 4A'!C52+'Table 4B'!C52</f>
        <v>1904465.0499999998</v>
      </c>
      <c r="D52" s="27"/>
      <c r="E52" s="30">
        <f>'Table 4A'!E52+'Table 4B'!E52</f>
        <v>1904465.0499999998</v>
      </c>
      <c r="F52" s="27"/>
      <c r="G52" s="30">
        <f>'Table 4A'!G52+'Table 4B'!G52</f>
        <v>2054465.0499999998</v>
      </c>
      <c r="H52" s="27"/>
      <c r="I52" s="30">
        <f>'Table 4A'!I52+'Table 4B'!I52</f>
        <v>2054465.0499999998</v>
      </c>
      <c r="J52" s="27"/>
      <c r="K52" s="30">
        <f>'Table 4A'!K52+'Table 4B'!K52</f>
        <v>2104465.05</v>
      </c>
    </row>
    <row r="53" spans="2:11" ht="13.5" customHeight="1">
      <c r="B53" s="25" t="s">
        <v>128</v>
      </c>
      <c r="C53" s="30">
        <f>'Table 4A'!C53+'Table 4B'!C53</f>
        <v>0</v>
      </c>
      <c r="D53" s="27"/>
      <c r="E53" s="30">
        <f>'Table 4A'!E53+'Table 4B'!E53</f>
        <v>0</v>
      </c>
      <c r="F53" s="27"/>
      <c r="G53" s="30">
        <f>'Table 4A'!G53+'Table 4B'!G53</f>
        <v>0</v>
      </c>
      <c r="H53" s="27"/>
      <c r="I53" s="30">
        <f>'Table 4A'!I53+'Table 4B'!I53</f>
        <v>0</v>
      </c>
      <c r="J53" s="27"/>
      <c r="K53" s="30">
        <f>'Table 4A'!K53+'Table 4B'!K53</f>
        <v>0</v>
      </c>
    </row>
    <row r="54" spans="2:11" ht="13.5" customHeight="1">
      <c r="B54" s="25" t="s">
        <v>129</v>
      </c>
      <c r="C54" s="30">
        <f>'Table 4A'!C54+'Table 4B'!C54</f>
        <v>1306600.04</v>
      </c>
      <c r="D54" s="27"/>
      <c r="E54" s="30">
        <f>'Table 4A'!E54+'Table 4B'!E54</f>
        <v>1306600.04</v>
      </c>
      <c r="F54" s="27"/>
      <c r="G54" s="30">
        <f>'Table 4A'!G54+'Table 4B'!G54</f>
        <v>1306600.04</v>
      </c>
      <c r="H54" s="27"/>
      <c r="I54" s="30">
        <f>'Table 4A'!I54+'Table 4B'!I54</f>
        <v>1306600.04</v>
      </c>
      <c r="J54" s="27"/>
      <c r="K54" s="30">
        <f>'Table 4A'!K54+'Table 4B'!K54</f>
        <v>1306600.04</v>
      </c>
    </row>
    <row r="55" spans="2:11" ht="13.5" customHeight="1">
      <c r="B55" s="25" t="s">
        <v>130</v>
      </c>
      <c r="C55" s="12">
        <f>'Table 4A'!C55+'Table 4B'!C55</f>
        <v>106142</v>
      </c>
      <c r="D55" s="15"/>
      <c r="E55" s="12">
        <f>'Table 4A'!E55+'Table 4B'!E55</f>
        <v>106142</v>
      </c>
      <c r="F55" s="15"/>
      <c r="G55" s="12">
        <f>'Table 4A'!G55+'Table 4B'!G55</f>
        <v>131142</v>
      </c>
      <c r="H55" s="15"/>
      <c r="I55" s="12">
        <f>'Table 4A'!I55+'Table 4B'!I55</f>
        <v>151142</v>
      </c>
      <c r="J55" s="15"/>
      <c r="K55" s="12">
        <f>'Table 4A'!K55+'Table 4B'!K55</f>
        <v>171142</v>
      </c>
    </row>
    <row r="56" spans="2:11" ht="13.5" customHeight="1">
      <c r="B56" s="1" t="s">
        <v>131</v>
      </c>
      <c r="C56" s="31">
        <f>SUM(C51:C55)</f>
        <v>4980006.76</v>
      </c>
      <c r="D56" s="15"/>
      <c r="E56" s="31">
        <f>SUM(E51:E55)</f>
        <v>5095006.76</v>
      </c>
      <c r="F56" s="15"/>
      <c r="G56" s="31">
        <f>SUM(G51:G55)</f>
        <v>5370006.76</v>
      </c>
      <c r="H56" s="15"/>
      <c r="I56" s="31">
        <f>SUM(I51:I55)</f>
        <v>5390006.76</v>
      </c>
      <c r="J56" s="15"/>
      <c r="K56" s="31">
        <f>SUM(K51:K55)</f>
        <v>5480006.76</v>
      </c>
    </row>
    <row r="57" spans="2:11" ht="13.5" customHeight="1">
      <c r="B57" s="25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3.5" customHeight="1">
      <c r="A58" s="1" t="s">
        <v>132</v>
      </c>
      <c r="B58" s="25"/>
      <c r="C58" s="21"/>
      <c r="D58" s="21"/>
      <c r="E58" s="21"/>
      <c r="F58" s="21"/>
      <c r="G58" s="21"/>
      <c r="H58" s="21"/>
      <c r="I58" s="21"/>
      <c r="J58" s="21"/>
      <c r="K58" s="21"/>
    </row>
    <row r="59" spans="2:11" ht="13.5" customHeight="1">
      <c r="B59" s="25" t="s">
        <v>133</v>
      </c>
      <c r="C59" s="37">
        <f>'Table 4A'!C59+'Table 4B'!C59</f>
        <v>4307824.65</v>
      </c>
      <c r="D59" s="27"/>
      <c r="E59" s="37">
        <f>'Table 4A'!E59+'Table 4B'!E59</f>
        <v>4807824.65</v>
      </c>
      <c r="F59" s="27"/>
      <c r="G59" s="37">
        <f>'Table 4A'!G59+'Table 4B'!G59</f>
        <v>4782824.65</v>
      </c>
      <c r="H59" s="27"/>
      <c r="I59" s="37">
        <f>'Table 4A'!I59+'Table 4B'!I59</f>
        <v>4757824.65</v>
      </c>
      <c r="J59" s="27"/>
      <c r="K59" s="37">
        <f>'Table 4A'!K59+'Table 4B'!K59</f>
        <v>4732824.65</v>
      </c>
    </row>
    <row r="60" spans="2:11" ht="13.5" customHeight="1">
      <c r="B60" s="25" t="s">
        <v>134</v>
      </c>
      <c r="C60" s="30">
        <f>'Table 4A'!C60+'Table 4B'!C60</f>
        <v>0</v>
      </c>
      <c r="D60" s="27"/>
      <c r="E60" s="30">
        <f>'Table 4A'!E60+'Table 4B'!E60</f>
        <v>0</v>
      </c>
      <c r="F60" s="27"/>
      <c r="G60" s="30">
        <f>'Table 4A'!G60+'Table 4B'!G60</f>
        <v>0</v>
      </c>
      <c r="H60" s="27"/>
      <c r="I60" s="30">
        <f>'Table 4A'!I60+'Table 4B'!I60</f>
        <v>0</v>
      </c>
      <c r="J60" s="27"/>
      <c r="K60" s="30">
        <f>'Table 4A'!K60+'Table 4B'!K60</f>
        <v>0</v>
      </c>
    </row>
    <row r="61" spans="2:11" ht="13.5" customHeight="1">
      <c r="B61" s="25" t="s">
        <v>135</v>
      </c>
      <c r="C61" s="12">
        <f>'Table 4A'!C61+'Table 4B'!C61</f>
        <v>0</v>
      </c>
      <c r="D61" s="15"/>
      <c r="E61" s="12">
        <f>'Table 4A'!E61+'Table 4B'!E61</f>
        <v>0</v>
      </c>
      <c r="F61" s="15"/>
      <c r="G61" s="12">
        <f>'Table 4A'!G61+'Table 4B'!G61</f>
        <v>0</v>
      </c>
      <c r="H61" s="15"/>
      <c r="I61" s="12">
        <f>'Table 4A'!I61+'Table 4B'!I61</f>
        <v>0</v>
      </c>
      <c r="J61" s="15"/>
      <c r="K61" s="12">
        <f>'Table 4A'!K61+'Table 4B'!K61</f>
        <v>0</v>
      </c>
    </row>
    <row r="62" spans="2:11" ht="13.5" customHeight="1">
      <c r="B62" s="1" t="s">
        <v>136</v>
      </c>
      <c r="C62" s="31">
        <f>SUM(C59:C61)</f>
        <v>4307824.65</v>
      </c>
      <c r="D62" s="15"/>
      <c r="E62" s="31">
        <f>SUM(E59:E61)</f>
        <v>4807824.65</v>
      </c>
      <c r="F62" s="15"/>
      <c r="G62" s="31">
        <f>SUM(G59:G61)</f>
        <v>4782824.65</v>
      </c>
      <c r="H62" s="15"/>
      <c r="I62" s="31">
        <f>SUM(I59:I61)</f>
        <v>4757824.65</v>
      </c>
      <c r="J62" s="15"/>
      <c r="K62" s="31">
        <f>SUM(K59:K61)</f>
        <v>4732824.65</v>
      </c>
    </row>
    <row r="63" spans="2:11" ht="13.5" customHeight="1">
      <c r="B63" s="25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3.5" customHeight="1">
      <c r="A64" s="1" t="s">
        <v>137</v>
      </c>
      <c r="B64" s="25"/>
      <c r="C64" s="31">
        <f>'Table 4A'!C64+'Table 4B'!C64</f>
        <v>3241410</v>
      </c>
      <c r="D64" s="15"/>
      <c r="E64" s="31">
        <f>'Table 4A'!E64+'Table 4B'!E64</f>
        <v>5241410</v>
      </c>
      <c r="F64" s="15"/>
      <c r="G64" s="31">
        <f>'Table 4A'!G64+'Table 4B'!G64</f>
        <v>5174410</v>
      </c>
      <c r="H64" s="15"/>
      <c r="I64" s="31">
        <f>'Table 4A'!I64+'Table 4B'!I64</f>
        <v>5107410</v>
      </c>
      <c r="J64" s="15"/>
      <c r="K64" s="31">
        <f>'Table 4A'!K64+'Table 4B'!K64</f>
        <v>5040410</v>
      </c>
    </row>
    <row r="65" spans="2:11" ht="13.5" customHeight="1">
      <c r="B65" s="25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3.5" customHeight="1">
      <c r="A66" s="1" t="s">
        <v>138</v>
      </c>
      <c r="B66" s="25"/>
      <c r="C66" s="37">
        <f>C56+C62+C64</f>
        <v>12529241.41</v>
      </c>
      <c r="D66" s="27"/>
      <c r="E66" s="37">
        <f>E56+E62+E64</f>
        <v>15144241.41</v>
      </c>
      <c r="F66" s="27"/>
      <c r="G66" s="37">
        <f>G56+G62+G64</f>
        <v>15327241.41</v>
      </c>
      <c r="H66" s="27"/>
      <c r="I66" s="37">
        <f>I56+I62+I64</f>
        <v>15255241.41</v>
      </c>
      <c r="J66" s="27"/>
      <c r="K66" s="37">
        <f>K56+K62+K64</f>
        <v>15253241.41</v>
      </c>
    </row>
    <row r="67" spans="2:11" ht="13.5" customHeight="1">
      <c r="B67" s="25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3.5" customHeight="1">
      <c r="A68" s="1" t="s">
        <v>139</v>
      </c>
      <c r="B68" s="25"/>
      <c r="C68" s="31">
        <f>'Table 4A'!C68+'Table 4B'!C68</f>
        <v>18710643.58</v>
      </c>
      <c r="D68" s="15"/>
      <c r="E68" s="31">
        <f>'Table 4A'!E68+'Table 4B'!E68</f>
        <v>18710643.58</v>
      </c>
      <c r="F68" s="15"/>
      <c r="G68" s="31">
        <f>'Table 4A'!G68+'Table 4B'!G68</f>
        <v>18759759</v>
      </c>
      <c r="H68" s="15"/>
      <c r="I68" s="31">
        <f>'Table 4A'!I68+'Table 4B'!I68</f>
        <v>18924759</v>
      </c>
      <c r="J68" s="15"/>
      <c r="K68" s="31">
        <f>'Table 4A'!K68+'Table 4B'!K68</f>
        <v>19034759</v>
      </c>
    </row>
    <row r="69" spans="2:11" ht="13.5" customHeight="1">
      <c r="B69" s="25"/>
      <c r="C69" s="21"/>
      <c r="D69" s="21"/>
      <c r="E69" s="21"/>
      <c r="F69" s="21"/>
      <c r="G69" s="21"/>
      <c r="H69" s="21"/>
      <c r="I69" s="21"/>
      <c r="J69" s="21"/>
      <c r="K69" s="21"/>
    </row>
    <row r="70" spans="2:11" ht="13.5" customHeight="1">
      <c r="B70" s="25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3.5" customHeight="1" thickBot="1">
      <c r="A71" s="1" t="s">
        <v>104</v>
      </c>
      <c r="B71" s="25"/>
      <c r="C71" s="42">
        <f>C66+C68</f>
        <v>31239884.99</v>
      </c>
      <c r="D71" s="43"/>
      <c r="E71" s="42">
        <f>E66+E68</f>
        <v>33854884.989999995</v>
      </c>
      <c r="F71" s="43"/>
      <c r="G71" s="42">
        <f>G66+G68</f>
        <v>34087000.41</v>
      </c>
      <c r="H71" s="43"/>
      <c r="I71" s="42">
        <f>I66+I68</f>
        <v>34180000.41</v>
      </c>
      <c r="J71" s="43"/>
      <c r="K71" s="42">
        <f>K66+K68</f>
        <v>34288000.41</v>
      </c>
    </row>
    <row r="72" spans="3:11" ht="13.5" thickTop="1">
      <c r="C72" s="21"/>
      <c r="D72" s="21"/>
      <c r="E72" s="21"/>
      <c r="F72" s="21"/>
      <c r="G72" s="21"/>
      <c r="H72" s="21"/>
      <c r="I72" s="21"/>
      <c r="J72" s="21"/>
      <c r="K72" s="21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7" bottom="0.75" header="0.5" footer="0.5"/>
  <pageSetup fitToHeight="1" fitToWidth="1" horizontalDpi="600" verticalDpi="600" orientation="portrait" scale="72" r:id="rId1"/>
  <headerFooter alignWithMargins="0">
    <oddHeader>&amp;L&amp;11NOTE: This table requires no 'fill-in' as it is populated automatically from Tables 4A &amp;&amp; 4B.</oddHeader>
    <oddFooter>&amp;L&amp;D
Health Care Administration&amp;R&amp;F,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pjsantos</dc:creator>
  <cp:keywords/>
  <dc:description/>
  <cp:lastModifiedBy>Denis Houle</cp:lastModifiedBy>
  <cp:lastPrinted>2023-03-14T15:49:42Z</cp:lastPrinted>
  <dcterms:created xsi:type="dcterms:W3CDTF">2004-02-11T14:06:19Z</dcterms:created>
  <dcterms:modified xsi:type="dcterms:W3CDTF">2023-03-14T15:49:51Z</dcterms:modified>
  <cp:category/>
  <cp:version/>
  <cp:contentType/>
  <cp:contentStatus/>
</cp:coreProperties>
</file>